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08852\Documents\"/>
    </mc:Choice>
  </mc:AlternateContent>
  <bookViews>
    <workbookView xWindow="0" yWindow="0" windowWidth="16455" windowHeight="4350"/>
  </bookViews>
  <sheets>
    <sheet name="Ansøgning" sheetId="1" r:id="rId1"/>
    <sheet name="Afrapportering" sheetId="4" r:id="rId2"/>
    <sheet name="Revisorerklæring - ansøgning" sheetId="6" state="hidden" r:id="rId3"/>
    <sheet name="Revisorerklæring - efterr." sheetId="9" state="hidden" r:id="rId4"/>
    <sheet name="KontrolAnsøgning" sheetId="11" state="hidden" r:id="rId5"/>
    <sheet name="Lister" sheetId="2" state="hidden" r:id="rId6"/>
  </sheets>
  <definedNames>
    <definedName name="AndenReferenceperiode">Lister!$G$2:$G$346</definedName>
    <definedName name="FastholdeUdbetaling">Lister!$I$15:$I$17</definedName>
    <definedName name="Forbudsart">Lister!$K$2:$K$5</definedName>
    <definedName name="Kompensationsperiode">Lister!$A$2:$A$124</definedName>
    <definedName name="NegativtResultat">Lister!$I$10:$I$12</definedName>
    <definedName name="NystartedeVirksomheder">Lister!$E$2:$E$102</definedName>
    <definedName name="OpgørelseAfSenesteResultat">Lister!$I$20:$I$25</definedName>
    <definedName name="Referenceperiode">Lister!$I$2:$I$6</definedName>
    <definedName name="ReferenceperiodeFasteOmk">Lister!$M$2:$M$4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4" l="1"/>
  <c r="A57" i="1"/>
  <c r="A58" i="1"/>
  <c r="A27" i="1"/>
  <c r="B117" i="11" l="1"/>
  <c r="B104" i="11"/>
  <c r="B103" i="11"/>
  <c r="B99" i="11"/>
  <c r="B98" i="11"/>
  <c r="B97" i="11"/>
  <c r="B96" i="11"/>
  <c r="B95" i="11"/>
  <c r="B80" i="11"/>
  <c r="B76" i="11"/>
  <c r="B75" i="11"/>
  <c r="B74" i="11"/>
  <c r="B73" i="11"/>
  <c r="B72" i="11"/>
  <c r="B71" i="11"/>
  <c r="B70" i="11"/>
  <c r="B69" i="11"/>
  <c r="B78" i="11" s="1"/>
  <c r="B65" i="11"/>
  <c r="B64" i="11"/>
  <c r="A78" i="11" s="1"/>
  <c r="B60" i="11"/>
  <c r="B59" i="11"/>
  <c r="B58" i="11"/>
  <c r="B57" i="11"/>
  <c r="B54" i="11"/>
  <c r="B52" i="11"/>
  <c r="B51" i="11"/>
  <c r="B39" i="11"/>
  <c r="B36" i="11"/>
  <c r="B35" i="11"/>
  <c r="B34" i="11"/>
  <c r="B33" i="11"/>
  <c r="B32" i="11"/>
  <c r="B31" i="11"/>
  <c r="B30" i="11"/>
  <c r="B29" i="11"/>
  <c r="B38" i="11" s="1"/>
  <c r="B24" i="11"/>
  <c r="B23" i="11"/>
  <c r="B15" i="11"/>
  <c r="B16" i="11"/>
  <c r="B17" i="11"/>
  <c r="B18" i="11"/>
  <c r="B19" i="11"/>
  <c r="B20" i="11"/>
  <c r="B14" i="11"/>
  <c r="B12" i="11"/>
  <c r="B9" i="11"/>
  <c r="B5" i="11"/>
  <c r="B4" i="11"/>
  <c r="B37" i="11"/>
  <c r="B61" i="11" l="1"/>
  <c r="B84" i="11" s="1"/>
  <c r="B85" i="11" s="1"/>
  <c r="B86" i="11" s="1"/>
  <c r="B89" i="11" s="1"/>
  <c r="A54" i="11"/>
  <c r="B79" i="11"/>
  <c r="B81" i="11" s="1"/>
  <c r="B82" i="11" s="1"/>
  <c r="B21" i="11"/>
  <c r="B109" i="11" s="1"/>
  <c r="B110" i="11" s="1"/>
  <c r="B111" i="11" s="1"/>
  <c r="B112" i="11" s="1"/>
  <c r="A59" i="11"/>
  <c r="A80" i="11"/>
  <c r="A27" i="11"/>
  <c r="A38" i="11"/>
  <c r="A64" i="11"/>
  <c r="B46" i="11"/>
  <c r="A19" i="11"/>
  <c r="A57" i="11"/>
  <c r="A20" i="11"/>
  <c r="B101" i="11"/>
  <c r="B102" i="11" s="1"/>
  <c r="A67" i="11"/>
  <c r="B87" i="11"/>
  <c r="A60" i="11"/>
  <c r="B40" i="11"/>
  <c r="B41" i="11" s="1"/>
  <c r="A65" i="11"/>
  <c r="A58" i="11"/>
  <c r="C14" i="11"/>
  <c r="B43" i="11"/>
  <c r="B44" i="11" s="1"/>
  <c r="B45" i="11" s="1"/>
  <c r="B48" i="11" s="1"/>
  <c r="B91" i="11" s="1"/>
  <c r="A20" i="1"/>
  <c r="A19" i="1"/>
  <c r="C14" i="1"/>
  <c r="B78" i="1"/>
  <c r="B79" i="1" s="1"/>
  <c r="A78" i="1"/>
  <c r="B118" i="11" l="1"/>
  <c r="B120" i="11" s="1"/>
  <c r="B21" i="1"/>
  <c r="A60" i="1"/>
  <c r="A59" i="1"/>
  <c r="A67" i="1"/>
  <c r="B43" i="1" l="1"/>
  <c r="B46" i="1"/>
  <c r="B61" i="1"/>
  <c r="B84" i="1" s="1"/>
  <c r="A12" i="4" l="1"/>
  <c r="A11" i="4"/>
  <c r="A10" i="4"/>
  <c r="A80" i="1"/>
  <c r="A54" i="1"/>
  <c r="B87" i="1" l="1"/>
  <c r="B71" i="4" l="1"/>
  <c r="B70" i="4"/>
  <c r="B45" i="4"/>
  <c r="B44" i="4"/>
  <c r="B102" i="4"/>
  <c r="B95" i="4"/>
  <c r="B84" i="4" l="1"/>
  <c r="B24" i="6"/>
  <c r="D24" i="6" s="1"/>
  <c r="A26" i="6"/>
  <c r="A30" i="9"/>
  <c r="A29" i="9"/>
  <c r="B19" i="9"/>
  <c r="D19" i="9" s="1"/>
  <c r="B18" i="9"/>
  <c r="D18" i="9" s="1"/>
  <c r="B24" i="9"/>
  <c r="D24" i="9" s="1"/>
  <c r="A14" i="9"/>
  <c r="B10" i="9"/>
  <c r="D10" i="9" s="1"/>
  <c r="B11" i="9"/>
  <c r="D11" i="9" s="1"/>
  <c r="B9" i="9"/>
  <c r="D9" i="9" s="1"/>
  <c r="A9" i="9"/>
  <c r="A10" i="9"/>
  <c r="A11" i="9"/>
  <c r="A8" i="9"/>
  <c r="A28" i="9"/>
  <c r="B38" i="1" l="1"/>
  <c r="B40" i="1" l="1"/>
  <c r="B41" i="1" s="1"/>
  <c r="B37" i="1"/>
  <c r="A65" i="1"/>
  <c r="B49" i="4"/>
  <c r="B17" i="6"/>
  <c r="D17" i="6" s="1"/>
  <c r="A17" i="6"/>
  <c r="B8" i="6"/>
  <c r="D8" i="6" s="1"/>
  <c r="B22" i="6" l="1"/>
  <c r="D22" i="6" s="1"/>
  <c r="A22" i="6"/>
  <c r="A8" i="6"/>
  <c r="B14" i="6"/>
  <c r="D14" i="6" s="1"/>
  <c r="B15" i="6"/>
  <c r="D15" i="6" s="1"/>
  <c r="B85" i="1" l="1"/>
  <c r="B86" i="1" s="1"/>
  <c r="B89" i="1" s="1"/>
  <c r="B17" i="4" l="1"/>
  <c r="B75" i="4" l="1"/>
  <c r="B81" i="1"/>
  <c r="B82" i="1" s="1"/>
  <c r="B21" i="6"/>
  <c r="D21" i="6" s="1"/>
  <c r="B93" i="4" l="1"/>
  <c r="B94" i="4"/>
  <c r="B112" i="4"/>
  <c r="B92" i="4"/>
  <c r="B77" i="4" l="1"/>
  <c r="B78" i="4" s="1"/>
  <c r="B67" i="4"/>
  <c r="A24" i="9"/>
  <c r="A19" i="9"/>
  <c r="A18" i="9"/>
  <c r="B51" i="4"/>
  <c r="B41" i="4"/>
  <c r="B76" i="4"/>
  <c r="B74" i="4"/>
  <c r="A75" i="4" s="1"/>
  <c r="B69" i="4"/>
  <c r="A71" i="4" s="1"/>
  <c r="B66" i="4"/>
  <c r="B64" i="4"/>
  <c r="B63" i="4"/>
  <c r="B50" i="4"/>
  <c r="B48" i="4"/>
  <c r="B43" i="4"/>
  <c r="B40" i="4"/>
  <c r="B37" i="4"/>
  <c r="B33" i="4"/>
  <c r="B32" i="4"/>
  <c r="B26" i="9" l="1"/>
  <c r="D26" i="9" s="1"/>
  <c r="B58" i="4"/>
  <c r="B15" i="9"/>
  <c r="D15" i="9" s="1"/>
  <c r="B16" i="9"/>
  <c r="D16" i="9" s="1"/>
  <c r="A45" i="4"/>
  <c r="A76" i="4"/>
  <c r="A77" i="4"/>
  <c r="A70" i="4"/>
  <c r="A66" i="4"/>
  <c r="A67" i="4"/>
  <c r="A44" i="4"/>
  <c r="A49" i="4"/>
  <c r="B52" i="4"/>
  <c r="A64" i="1" l="1"/>
  <c r="B72" i="4" l="1"/>
  <c r="B109" i="1"/>
  <c r="B46" i="4"/>
  <c r="B55" i="4" s="1"/>
  <c r="B81" i="4" l="1"/>
  <c r="B82" i="4" s="1"/>
  <c r="B83" i="4" s="1"/>
  <c r="B86" i="4" s="1"/>
  <c r="B56" i="4"/>
  <c r="B57" i="4" s="1"/>
  <c r="B60" i="4" s="1"/>
  <c r="B104" i="4"/>
  <c r="B105" i="4" s="1"/>
  <c r="B106" i="4" s="1"/>
  <c r="B88" i="4" l="1"/>
  <c r="B107" i="4"/>
  <c r="B97" i="4" s="1"/>
  <c r="B113" i="4" l="1"/>
  <c r="B15" i="4"/>
  <c r="B28" i="9" s="1"/>
  <c r="D28" i="9" s="1"/>
  <c r="B98" i="4"/>
  <c r="B23" i="4"/>
  <c r="A15" i="6"/>
  <c r="A14" i="6"/>
  <c r="B115" i="4" l="1"/>
  <c r="B29" i="4" s="1"/>
  <c r="B29" i="9" s="1"/>
  <c r="D29" i="9" s="1"/>
  <c r="B24" i="4"/>
  <c r="B12" i="6"/>
  <c r="D12" i="6" s="1"/>
  <c r="B13" i="6"/>
  <c r="D13" i="6" s="1"/>
  <c r="A38" i="1"/>
  <c r="A21" i="6" s="1"/>
  <c r="B110" i="1" l="1"/>
  <c r="B111" i="1" s="1"/>
  <c r="B101" i="1" l="1"/>
  <c r="B112" i="1"/>
  <c r="B44" i="1"/>
  <c r="B45" i="1" s="1"/>
  <c r="B48" i="1" s="1"/>
  <c r="B91" i="1" l="1"/>
  <c r="B118" i="1" l="1"/>
  <c r="B26" i="6"/>
  <c r="D26" i="6" s="1"/>
  <c r="B102" i="1"/>
  <c r="B14" i="4"/>
  <c r="B120" i="1" l="1"/>
  <c r="B122" i="11" s="1"/>
  <c r="B123" i="11" s="1"/>
  <c r="B30" i="4" l="1"/>
  <c r="B30" i="9" s="1"/>
  <c r="D30" i="9" s="1"/>
</calcChain>
</file>

<file path=xl/comments1.xml><?xml version="1.0" encoding="utf-8"?>
<comments xmlns="http://schemas.openxmlformats.org/spreadsheetml/2006/main">
  <authors>
    <author>Simon Hjerrild Bech</author>
  </authors>
  <commentList>
    <comment ref="B27" authorId="0" shapeId="0">
      <text>
        <r>
          <rPr>
            <sz val="9"/>
            <color indexed="81"/>
            <rFont val="Tahoma"/>
            <family val="2"/>
          </rPr>
          <t>Dette felt udfyldes af Slots- og Kulturstyrelsen.</t>
        </r>
      </text>
    </comment>
    <comment ref="B102" authorId="0" shapeId="0">
      <text>
        <r>
          <rPr>
            <sz val="9"/>
            <color indexed="81"/>
            <rFont val="Tahoma"/>
            <family val="2"/>
          </rPr>
          <t>Dette felt udfyldes af Slots- og Kulturstyrelsen.</t>
        </r>
      </text>
    </comment>
  </commentList>
</comments>
</file>

<file path=xl/sharedStrings.xml><?xml version="1.0" encoding="utf-8"?>
<sst xmlns="http://schemas.openxmlformats.org/spreadsheetml/2006/main" count="350" uniqueCount="138">
  <si>
    <t>CVR-nr.</t>
  </si>
  <si>
    <t>Kompensationsperiode</t>
  </si>
  <si>
    <t>Kompensationsperiode start</t>
  </si>
  <si>
    <t>Kompensationsperiode slut</t>
  </si>
  <si>
    <t>Forbudsperiode</t>
  </si>
  <si>
    <t>Nystartede virksomheder</t>
  </si>
  <si>
    <t>Forbud</t>
  </si>
  <si>
    <t>Vælg/Indtast</t>
  </si>
  <si>
    <t>Ikke forbud</t>
  </si>
  <si>
    <t>Hele kompensationsperioden</t>
  </si>
  <si>
    <t>Dele af kompensationsperioden</t>
  </si>
  <si>
    <t>Institutionsnavn</t>
  </si>
  <si>
    <t>Anden referenceperiode</t>
  </si>
  <si>
    <t>01-11-2019 til 29-02-2020</t>
  </si>
  <si>
    <t>Afvigelse i pct.</t>
  </si>
  <si>
    <t>Begrundelse hvis afvigelse større end 10 pct.</t>
  </si>
  <si>
    <t>1 nov 2019 - 29. feb 2020 ELLER stiftelsesdato efter 1. dec 2019 - 9. marts 2020</t>
  </si>
  <si>
    <t>Forventede faste omkostninger i kompensationsperioden</t>
  </si>
  <si>
    <t>Forventet kommerciel omsætningsnedgang ved intet åbningsforbud eller åbningsforbud hele perioden</t>
  </si>
  <si>
    <t>ÅBNINGSFORBUD I DELE AF KOMPENSATIONSPERIODEN</t>
  </si>
  <si>
    <t>Sidste dag med åbningsforbud</t>
  </si>
  <si>
    <t>Forventet kommerciel omsætningsnedgang ved åbningsforbud i dele af perioden</t>
  </si>
  <si>
    <t>Er seneste resultat negativt</t>
  </si>
  <si>
    <t>Reduktion af kompensationsbeløb</t>
  </si>
  <si>
    <t>KOMPENSATIONSBELØB I ALT</t>
  </si>
  <si>
    <t>Referenceperiode for faste omkostninger</t>
  </si>
  <si>
    <t>Institution stiftet efter 1. dec. 2019</t>
  </si>
  <si>
    <t>Startdato for åbningsforbud</t>
  </si>
  <si>
    <t>Vælg referenceperiode for realiseret omsætning</t>
  </si>
  <si>
    <t>Vælg referenceperiode for realiseret omsætning i åbningsforbudsperioden</t>
  </si>
  <si>
    <t>OBS. Kun for institutioner stiftet efter 1. dec. 2019: Referenceperiode start</t>
  </si>
  <si>
    <t>OBS. Kun for institutioner stiftet efter 1. dec. 2019: Referenceperiode slut</t>
  </si>
  <si>
    <t>Vælg referenceperiode for faste omkostninger i åbningsforbudsperioden</t>
  </si>
  <si>
    <t>Ja</t>
  </si>
  <si>
    <t>Nej</t>
  </si>
  <si>
    <t>Oplys, om der har været åbningsforbud. Hvis nej oplys da "Ikke forbud"</t>
  </si>
  <si>
    <t>Anden referenceperiode (kun ved særlige omstændigheder)</t>
  </si>
  <si>
    <t>OBS. Kun ved anden referenceperiode under særlige omstændigheder: Referenceperiode start</t>
  </si>
  <si>
    <t>OBS. Kun ved anden referenceperiode under særlige omstændigheder: Referenceperiode slut</t>
  </si>
  <si>
    <t>Kompensationsbeløb ved intet åbningsforbud eller åbningsforbud hele perioden</t>
  </si>
  <si>
    <t>Kompensationsbeløb for åbningsforbudsperioden</t>
  </si>
  <si>
    <t>OBS. Kun for institutioner stifter efter 1. dec. 2019: Referenceperiode slut</t>
  </si>
  <si>
    <t>Er institutionens seneste resultat negativt?</t>
  </si>
  <si>
    <t>Hvis ja, er institutionens resultat med balancedag i 2017, 2018 og 2019 samlet set positivt?</t>
  </si>
  <si>
    <t>Hvis nej, oplys det seneste resultat</t>
  </si>
  <si>
    <t>Hvis institutionens seneste resultat er negativt, reduceres kompensationsbeløbet. Dog gælder en række undtagelser. Udfyld venligst nedenfor.</t>
  </si>
  <si>
    <t>Forventet kommerciel omsætningsnedgang hele perioden</t>
  </si>
  <si>
    <t>Indplacering i trappemodel hele perioden</t>
  </si>
  <si>
    <t>Kompensationssats hele perioden</t>
  </si>
  <si>
    <t>Kommerciel omsætning andel af samlet omsætning hele perioden</t>
  </si>
  <si>
    <t>Der ydes godtgørelse for 80 pct. af udgifterne til revisorerklæring, såfremt ansøgningen udløser kompensation.</t>
  </si>
  <si>
    <t>Godtgørelse af revisorudgifter</t>
  </si>
  <si>
    <t>Forventet kommerciel omsætning i kompensationsperioden</t>
  </si>
  <si>
    <t>NEDENSTÅENDE OPLYSES FOR HELE KOMPENSATIONSPERIODEN</t>
  </si>
  <si>
    <t>Referenceperiode realiseret omsætning</t>
  </si>
  <si>
    <t>Vælg referenceperiode for realiserede faste omkostninger</t>
  </si>
  <si>
    <t>Indplacering i trappemodel ved intet åbningsforbud eller åbningsforbud hele perioden</t>
  </si>
  <si>
    <t>Kompensationssats ved intet åbningsforbud eller åbningsforbud hele perioden</t>
  </si>
  <si>
    <t>Indplacering i trappemodel ved åbningsforbud i dele af perioden</t>
  </si>
  <si>
    <t>Kompensationssats ved åbningsforbud i dele af perioden</t>
  </si>
  <si>
    <t>Kommerciel omsætnings andel af samlet omsætning ved åbningsforbud i dele af perioden</t>
  </si>
  <si>
    <t>Hvis nej, er institutionens resultat positivt for hvert af de 3 regnskabsår med balancedag i 2016, 2017 og 2018?</t>
  </si>
  <si>
    <t>KOMPENSATIONSBELØB INKL. GODTGØRELSE AF REVISORUDGIFTER SAMT REDUKTION VED NEGATIVT RESULTAT</t>
  </si>
  <si>
    <t>Reduktion af kompensationsbeløb i pct.</t>
  </si>
  <si>
    <t>Slots- og Kulturstyrelsen fastholder en udbetaling på 50 pct. af kompensationsbeløbet efter en konkret vurdering</t>
  </si>
  <si>
    <t>Fastholde udbetaling på 50 pct. af kompensationsbeløb</t>
  </si>
  <si>
    <t>Kommerciel omsætnings andel af samlet omsætning ved intet åbningsforbud eller åbningsforbud hele perioden</t>
  </si>
  <si>
    <t>01-04-2019 til 31-07-2019</t>
  </si>
  <si>
    <t>Opskaleret kommerciel omsætning svarende til en periode på fire måneder (institutioner stiftet efter 1. dec. 2019)</t>
  </si>
  <si>
    <t>Op-/nedskaleret kommerciel omsætning svarende til perioden med åbningsforbud</t>
  </si>
  <si>
    <t>Faktisk kommerciel omsætning i kompensationsperioden</t>
  </si>
  <si>
    <t>Referenceperiode for realiseret omsætning</t>
  </si>
  <si>
    <t>Faktiske faste omkostninger i kompensationsperioden</t>
  </si>
  <si>
    <t>Faktisk kommerciel omsætningsnedgang ved intet åbningsforbud eller åbningsforbud hele perioden</t>
  </si>
  <si>
    <t>Forventet kompensationsbeløb for åbningsforbudsperioden</t>
  </si>
  <si>
    <t>FORVENTET KOMPENSATIONSBELØB I ALT</t>
  </si>
  <si>
    <t>Faktisk omsætning i alt i kompensationsperioden</t>
  </si>
  <si>
    <t>Faktisk kommerciel omsætning i alt i kompensationsperioden</t>
  </si>
  <si>
    <t>NEDENSTÅENDE OPLYSES FOR FORBUDSPERIODEN, HVIS DER HAR VÆRET ÅBNINGSFORBUD I DELE AF KOMPENSATIONSPERIODEN</t>
  </si>
  <si>
    <t>Reduktion i pct.</t>
  </si>
  <si>
    <t>Faktisk kompensationsbeløb ekskl. eventuel reduktion og godtgørelse af revisorudgifter</t>
  </si>
  <si>
    <t>Forventet kompensationsbeløb ekskl. eventuel reduktion og godtgørelse af revisorudgifter</t>
  </si>
  <si>
    <t>FAKTISK KOMPENSATIONSBELØB</t>
  </si>
  <si>
    <t>EFTERREGULERING (- INSTITUTIONEN SKAL TILBAGEBETALE, + INSTITUTIONEN HAR KOMPENSATION TIL GODE)</t>
  </si>
  <si>
    <t>Institutionens seneste resultat ved ansøgningstidspunktet, hvis resultatet var negativt</t>
  </si>
  <si>
    <t>Er institutionens resultat for kompensationsperioden negativt?</t>
  </si>
  <si>
    <t>Institutionens resultat i kompensationsperioden 9. marts 2020 til 8. juli 2020</t>
  </si>
  <si>
    <t>Oplys perioden for det seneste resultat</t>
  </si>
  <si>
    <t>Opgørelse af seneste resultat</t>
  </si>
  <si>
    <t>Årsregnskab med balancedag den 28. februar 2019 eller senere</t>
  </si>
  <si>
    <t>Årets resultat for kalenderåret 2019</t>
  </si>
  <si>
    <t>Halvårsregnskab med balancedag den 31. august 2019 eller senere</t>
  </si>
  <si>
    <t>Kvartalsregnskab med balancedag den 30. november 2019 eller senere</t>
  </si>
  <si>
    <t>Husleje</t>
  </si>
  <si>
    <t>Leje- og leasingomkostninger</t>
  </si>
  <si>
    <t>Nødvendig vedligeholdelse af materielle anlægsaktiver og lejede/leasede aktiver</t>
  </si>
  <si>
    <t>Omkostninger til el og opvarmning</t>
  </si>
  <si>
    <t>Ejendomskatter</t>
  </si>
  <si>
    <t>Nødvendige rengøring</t>
  </si>
  <si>
    <t>Afskrivninger af materielle og immaterielle anlægsaktiver</t>
  </si>
  <si>
    <t>Forventet foreløbig kompensationsbeløb ved intet åbningsforbud eller åbningsforbud hele perioden</t>
  </si>
  <si>
    <t>Bilag til kompensation af faste omkostninger - Kontrol imellem revisorerklæring og ansøgning</t>
  </si>
  <si>
    <t xml:space="preserve">Revisorerklæring </t>
  </si>
  <si>
    <t>Kontrol</t>
  </si>
  <si>
    <t>Realiseret omsætning</t>
  </si>
  <si>
    <t>Realiserede faste omkostninger</t>
  </si>
  <si>
    <t>Periode fra:</t>
  </si>
  <si>
    <t>Periode til:</t>
  </si>
  <si>
    <t>Institution</t>
  </si>
  <si>
    <t>Revisor MNE nr.</t>
  </si>
  <si>
    <t>Vedligeholdelse af materielle anlægsaktiver og lejede/leasede aktiver</t>
  </si>
  <si>
    <t>Rengøring</t>
  </si>
  <si>
    <t>Faktisk omsætning</t>
  </si>
  <si>
    <t>Faktiske faste omkostninger</t>
  </si>
  <si>
    <t>Forventet resultat i kompensationsperioden</t>
  </si>
  <si>
    <t>Faktisk resultat for kompensationsperioden</t>
  </si>
  <si>
    <t>Bilag til kompensation af faste omkostninger - Kontrol imellem revisorerklæring og afrapportering</t>
  </si>
  <si>
    <t>Revisorerklæring</t>
  </si>
  <si>
    <t xml:space="preserve">Sagsbehandling </t>
  </si>
  <si>
    <t>Sagsbehandling</t>
  </si>
  <si>
    <t>Seneste resultat</t>
  </si>
  <si>
    <t>Øvrige realiserede faste omkostninger</t>
  </si>
  <si>
    <t>Forventet variable omkostninger i kompensationsperioden</t>
  </si>
  <si>
    <t>Godtgørelsen til revision kan maksimalt udgøre 16.000 kr. ekskl. moms.</t>
  </si>
  <si>
    <t>Revisorudgifter ekskl. moms</t>
  </si>
  <si>
    <t>Forskel</t>
  </si>
  <si>
    <t>Indtast beløb</t>
  </si>
  <si>
    <t>Hvis reduktionen er mere end 50 pct. af kompensationsbeløbet, kan Slots- og Kulturstyrelsen efter en konkret vurdering af institutionens forventede negative resultat og variable omkostninger i kompensationsperioden fastholde en udbetaling på 50 pct. af kompensationsbeløbet.</t>
  </si>
  <si>
    <r>
      <t xml:space="preserve">Alle hvide felter i kolonne B </t>
    </r>
    <r>
      <rPr>
        <u/>
        <sz val="11"/>
        <color theme="1"/>
        <rFont val="Calibri"/>
        <family val="2"/>
        <scheme val="minor"/>
      </rPr>
      <t>skal</t>
    </r>
    <r>
      <rPr>
        <sz val="11"/>
        <color theme="1"/>
        <rFont val="Calibri"/>
        <family val="2"/>
        <scheme val="minor"/>
      </rPr>
      <t xml:space="preserve"> udfyldes. Hvis beløbet er 0, oplyses dette. De grå felter beregnes automatisk.
Enkelte grå felter kan skifte til hvid undervejs afhængig af de indtastede oplysninger; disse skal i så fald udfyldes.</t>
    </r>
  </si>
  <si>
    <r>
      <t xml:space="preserve">Alle hvide felter i kolonne B </t>
    </r>
    <r>
      <rPr>
        <u/>
        <sz val="11"/>
        <color theme="1"/>
        <rFont val="Calibri"/>
        <family val="2"/>
        <scheme val="minor"/>
      </rPr>
      <t>skal</t>
    </r>
    <r>
      <rPr>
        <sz val="11"/>
        <color theme="1"/>
        <rFont val="Calibri"/>
        <family val="2"/>
        <scheme val="minor"/>
      </rPr>
      <t xml:space="preserve"> udfyldes. Hvis beløbet er 0, oplyses dette. Enkelte grå felter kan skifte til hvid undervejs afhængig af de indtastede oplysninger; udfyld da også disse.</t>
    </r>
  </si>
  <si>
    <t>Bilag til kompensation af faste omkostninger - ansøgning (version 4)</t>
  </si>
  <si>
    <t>Bilag til kompensation af faste omkostninger - afrapportering (version 4)</t>
  </si>
  <si>
    <t>Budgetteret resultat for kompensationsperioden, hvis COVID-19 ikke var en realitet</t>
  </si>
  <si>
    <t>Indtast navn</t>
  </si>
  <si>
    <t>Indtast CVR-nr.</t>
  </si>
  <si>
    <t>Op/nedskaleret realiserede faste omkostninger svarende til perioden med åbningsforbud</t>
  </si>
  <si>
    <t>Kompensationsbeløb i "Ansøgning"</t>
  </si>
  <si>
    <t>Op-/nedskaleret realiserede faste omkostninger svarende til perioden med åbningsforbud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</si>
</sst>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quot;kr.&quot;"/>
  </numFmts>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sz val="9"/>
      <color indexed="81"/>
      <name val="Tahoma"/>
      <family val="2"/>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4.9989318521683403E-2"/>
        <bgColor indexed="64"/>
      </patternFill>
    </fill>
    <fill>
      <patternFill patternType="solid">
        <fgColor theme="7"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32">
    <xf numFmtId="0" fontId="0" fillId="0" borderId="0" xfId="0"/>
    <xf numFmtId="0" fontId="1" fillId="0" borderId="1" xfId="0" applyFont="1" applyBorder="1"/>
    <xf numFmtId="0" fontId="0" fillId="0" borderId="1" xfId="0" applyBorder="1"/>
    <xf numFmtId="0" fontId="1" fillId="0" borderId="0" xfId="0" applyFont="1"/>
    <xf numFmtId="14" fontId="0" fillId="0" borderId="0" xfId="0" applyNumberFormat="1"/>
    <xf numFmtId="14" fontId="0" fillId="2" borderId="0" xfId="0" applyNumberFormat="1" applyFill="1"/>
    <xf numFmtId="0" fontId="0" fillId="0" borderId="0" xfId="0" applyBorder="1"/>
    <xf numFmtId="0" fontId="0" fillId="2" borderId="0" xfId="0" applyFill="1" applyBorder="1"/>
    <xf numFmtId="14" fontId="0" fillId="2" borderId="0" xfId="0" applyNumberFormat="1" applyFill="1" applyAlignment="1" applyProtection="1">
      <alignment horizontal="right"/>
      <protection locked="0"/>
    </xf>
    <xf numFmtId="164" fontId="0" fillId="0" borderId="0" xfId="0" applyNumberFormat="1" applyProtection="1">
      <protection locked="0"/>
    </xf>
    <xf numFmtId="0" fontId="0" fillId="0" borderId="0" xfId="0" applyBorder="1" applyAlignment="1" applyProtection="1">
      <alignment horizontal="right"/>
      <protection locked="0"/>
    </xf>
    <xf numFmtId="14" fontId="0" fillId="0" borderId="0" xfId="0" applyNumberFormat="1" applyFill="1" applyProtection="1">
      <protection locked="0"/>
    </xf>
    <xf numFmtId="0" fontId="0" fillId="2" borderId="0" xfId="0" applyFill="1"/>
    <xf numFmtId="0" fontId="0" fillId="0" borderId="0" xfId="0" applyAlignment="1">
      <alignment horizontal="right"/>
    </xf>
    <xf numFmtId="10" fontId="0" fillId="2" borderId="0" xfId="0" applyNumberFormat="1" applyFill="1" applyProtection="1">
      <protection hidden="1"/>
    </xf>
    <xf numFmtId="1" fontId="0" fillId="2" borderId="0" xfId="0" applyNumberFormat="1" applyFill="1" applyProtection="1">
      <protection hidden="1"/>
    </xf>
    <xf numFmtId="164" fontId="0" fillId="2" borderId="2" xfId="0" applyNumberFormat="1" applyFill="1" applyBorder="1" applyProtection="1">
      <protection hidden="1"/>
    </xf>
    <xf numFmtId="0" fontId="0" fillId="0" borderId="0" xfId="0" applyProtection="1">
      <protection hidden="1"/>
    </xf>
    <xf numFmtId="164" fontId="0" fillId="2" borderId="0" xfId="0" applyNumberFormat="1" applyFill="1" applyProtection="1">
      <protection locked="0"/>
    </xf>
    <xf numFmtId="10" fontId="0" fillId="3" borderId="0" xfId="0" applyNumberFormat="1" applyFill="1" applyProtection="1">
      <protection hidden="1"/>
    </xf>
    <xf numFmtId="1" fontId="0" fillId="3" borderId="0" xfId="0" applyNumberFormat="1" applyFill="1" applyProtection="1">
      <protection hidden="1"/>
    </xf>
    <xf numFmtId="164" fontId="0" fillId="2" borderId="0" xfId="0" applyNumberFormat="1" applyFill="1" applyProtection="1">
      <protection hidden="1"/>
    </xf>
    <xf numFmtId="164" fontId="0" fillId="2" borderId="1" xfId="0" applyNumberFormat="1" applyFill="1" applyBorder="1" applyAlignment="1" applyProtection="1">
      <protection hidden="1"/>
    </xf>
    <xf numFmtId="164" fontId="1" fillId="2" borderId="2" xfId="0" applyNumberFormat="1" applyFont="1" applyFill="1" applyBorder="1" applyProtection="1">
      <protection hidden="1"/>
    </xf>
    <xf numFmtId="10" fontId="0" fillId="0" borderId="0" xfId="0" applyNumberFormat="1" applyFill="1"/>
    <xf numFmtId="0" fontId="0" fillId="2" borderId="0" xfId="0" applyFill="1" applyProtection="1">
      <protection hidden="1"/>
    </xf>
    <xf numFmtId="0" fontId="1" fillId="2" borderId="0" xfId="0" applyFont="1" applyFill="1" applyProtection="1">
      <protection hidden="1"/>
    </xf>
    <xf numFmtId="0" fontId="0" fillId="0" borderId="0" xfId="0" applyNumberFormat="1" applyAlignment="1" applyProtection="1">
      <alignment horizontal="right"/>
      <protection locked="0"/>
    </xf>
    <xf numFmtId="0" fontId="0" fillId="0" borderId="0" xfId="0" applyAlignment="1" applyProtection="1">
      <alignment horizontal="right"/>
      <protection locked="0"/>
    </xf>
    <xf numFmtId="164" fontId="0" fillId="0" borderId="0" xfId="0" applyNumberFormat="1" applyFont="1" applyFill="1" applyProtection="1">
      <protection locked="0"/>
    </xf>
    <xf numFmtId="9" fontId="0" fillId="2" borderId="0" xfId="1" applyFont="1" applyFill="1" applyProtection="1">
      <protection hidden="1"/>
    </xf>
    <xf numFmtId="164" fontId="1" fillId="0" borderId="2" xfId="0" applyNumberFormat="1" applyFont="1" applyBorder="1" applyProtection="1">
      <protection hidden="1"/>
    </xf>
    <xf numFmtId="0" fontId="0" fillId="0" borderId="0" xfId="0" applyFill="1" applyAlignment="1" applyProtection="1">
      <alignment horizontal="right"/>
      <protection locked="0"/>
    </xf>
    <xf numFmtId="0" fontId="0" fillId="2" borderId="0" xfId="0" applyFill="1" applyAlignment="1" applyProtection="1">
      <alignment horizontal="right"/>
      <protection locked="0"/>
    </xf>
    <xf numFmtId="0" fontId="0" fillId="0" borderId="0" xfId="0" applyNumberFormat="1" applyFill="1" applyProtection="1"/>
    <xf numFmtId="14" fontId="0" fillId="2" borderId="0" xfId="0" applyNumberFormat="1" applyFill="1" applyProtection="1">
      <protection hidden="1"/>
    </xf>
    <xf numFmtId="0" fontId="0" fillId="2" borderId="0" xfId="0" applyFill="1" applyAlignment="1" applyProtection="1">
      <alignment horizontal="right"/>
      <protection hidden="1"/>
    </xf>
    <xf numFmtId="49" fontId="0" fillId="2" borderId="0" xfId="0" applyNumberFormat="1" applyFill="1" applyProtection="1">
      <protection hidden="1"/>
    </xf>
    <xf numFmtId="14" fontId="0" fillId="0" borderId="0" xfId="0" applyNumberFormat="1" applyFill="1" applyProtection="1">
      <protection hidden="1"/>
    </xf>
    <xf numFmtId="164" fontId="0" fillId="2" borderId="0" xfId="0" applyNumberFormat="1" applyFill="1" applyBorder="1" applyProtection="1">
      <protection hidden="1"/>
    </xf>
    <xf numFmtId="0" fontId="0" fillId="0" borderId="0" xfId="0" applyFill="1" applyBorder="1"/>
    <xf numFmtId="164" fontId="0" fillId="2" borderId="0" xfId="0" applyNumberFormat="1" applyFont="1" applyFill="1" applyProtection="1">
      <protection hidden="1"/>
    </xf>
    <xf numFmtId="164" fontId="0" fillId="2" borderId="3" xfId="0" applyNumberFormat="1" applyFill="1" applyBorder="1" applyProtection="1">
      <protection hidden="1"/>
    </xf>
    <xf numFmtId="164" fontId="1" fillId="2" borderId="1" xfId="0" applyNumberFormat="1" applyFont="1" applyFill="1" applyBorder="1" applyProtection="1">
      <protection hidden="1"/>
    </xf>
    <xf numFmtId="164" fontId="0" fillId="2" borderId="0" xfId="0" applyNumberFormat="1" applyFill="1" applyBorder="1" applyProtection="1"/>
    <xf numFmtId="0" fontId="0" fillId="2" borderId="1" xfId="0" applyFill="1" applyBorder="1"/>
    <xf numFmtId="0" fontId="0" fillId="0" borderId="0" xfId="0" applyFont="1"/>
    <xf numFmtId="0" fontId="0" fillId="4" borderId="0" xfId="0" applyFill="1"/>
    <xf numFmtId="0" fontId="0" fillId="5" borderId="0" xfId="0" applyFill="1"/>
    <xf numFmtId="0" fontId="5" fillId="0" borderId="0" xfId="0" applyFont="1"/>
    <xf numFmtId="0" fontId="0" fillId="5" borderId="0" xfId="0" applyFill="1" applyAlignment="1">
      <alignment horizontal="right"/>
    </xf>
    <xf numFmtId="49" fontId="0" fillId="2" borderId="0" xfId="0" applyNumberFormat="1" applyFont="1" applyFill="1" applyAlignment="1">
      <alignment horizontal="right"/>
    </xf>
    <xf numFmtId="49" fontId="0" fillId="4" borderId="0" xfId="0" applyNumberFormat="1" applyFill="1" applyAlignment="1">
      <alignment horizontal="right"/>
    </xf>
    <xf numFmtId="49" fontId="0" fillId="4" borderId="0" xfId="0" applyNumberFormat="1" applyFill="1"/>
    <xf numFmtId="0" fontId="0" fillId="4" borderId="1" xfId="0" applyFill="1" applyBorder="1"/>
    <xf numFmtId="0" fontId="0" fillId="5" borderId="1" xfId="0" applyFill="1" applyBorder="1"/>
    <xf numFmtId="0" fontId="0" fillId="2" borderId="0" xfId="0" applyFill="1" applyAlignment="1">
      <alignment horizontal="right"/>
    </xf>
    <xf numFmtId="4" fontId="0" fillId="2" borderId="0" xfId="0" applyNumberFormat="1" applyFill="1"/>
    <xf numFmtId="4" fontId="0" fillId="4" borderId="0" xfId="0" applyNumberFormat="1" applyFill="1"/>
    <xf numFmtId="4" fontId="0" fillId="5" borderId="0" xfId="0" applyNumberFormat="1" applyFill="1"/>
    <xf numFmtId="4" fontId="0" fillId="2" borderId="0" xfId="0" applyNumberFormat="1" applyFill="1" applyProtection="1">
      <protection hidden="1"/>
    </xf>
    <xf numFmtId="164" fontId="0" fillId="0" borderId="0" xfId="0" applyNumberFormat="1" applyFill="1" applyBorder="1"/>
    <xf numFmtId="10" fontId="0" fillId="0" borderId="0" xfId="0" applyNumberFormat="1" applyFill="1" applyBorder="1"/>
    <xf numFmtId="10" fontId="0" fillId="2" borderId="0" xfId="0" applyNumberFormat="1" applyFill="1" applyBorder="1" applyProtection="1">
      <protection hidden="1"/>
    </xf>
    <xf numFmtId="0" fontId="0" fillId="2" borderId="0" xfId="0" applyFill="1" applyBorder="1" applyAlignment="1" applyProtection="1">
      <alignment horizontal="right"/>
      <protection hidden="1"/>
    </xf>
    <xf numFmtId="14" fontId="0" fillId="0" borderId="0" xfId="0" applyNumberFormat="1" applyProtection="1">
      <protection hidden="1"/>
    </xf>
    <xf numFmtId="0" fontId="0" fillId="2" borderId="0" xfId="0" applyNumberFormat="1" applyFill="1" applyAlignment="1" applyProtection="1">
      <alignment horizontal="right"/>
      <protection hidden="1"/>
    </xf>
    <xf numFmtId="0" fontId="0" fillId="0" borderId="0" xfId="0" applyNumberFormat="1" applyFill="1" applyProtection="1">
      <protection hidden="1"/>
    </xf>
    <xf numFmtId="4" fontId="0" fillId="0" borderId="0" xfId="0" applyNumberFormat="1" applyFill="1" applyProtection="1">
      <protection hidden="1"/>
    </xf>
    <xf numFmtId="10" fontId="0" fillId="0" borderId="0" xfId="0" applyNumberFormat="1" applyFill="1" applyProtection="1">
      <protection hidden="1"/>
    </xf>
    <xf numFmtId="164" fontId="0" fillId="0" borderId="0" xfId="0" applyNumberFormat="1" applyProtection="1">
      <protection hidden="1"/>
    </xf>
    <xf numFmtId="164" fontId="0" fillId="2" borderId="0" xfId="0" applyNumberFormat="1" applyFill="1" applyBorder="1" applyAlignment="1" applyProtection="1">
      <alignment horizontal="right"/>
      <protection hidden="1"/>
    </xf>
    <xf numFmtId="0" fontId="0" fillId="2" borderId="0" xfId="0" applyNumberFormat="1" applyFill="1" applyProtection="1">
      <protection hidden="1"/>
    </xf>
    <xf numFmtId="164" fontId="0" fillId="0" borderId="0" xfId="0" applyNumberFormat="1" applyAlignment="1" applyProtection="1">
      <alignment horizontal="right"/>
      <protection locked="0"/>
    </xf>
    <xf numFmtId="164" fontId="0" fillId="0" borderId="3" xfId="0" applyNumberFormat="1" applyBorder="1" applyAlignment="1" applyProtection="1">
      <alignment horizontal="right"/>
      <protection locked="0"/>
    </xf>
    <xf numFmtId="164" fontId="0" fillId="0" borderId="1" xfId="0" applyNumberFormat="1" applyBorder="1" applyAlignment="1" applyProtection="1">
      <alignment horizontal="right"/>
      <protection locked="0"/>
    </xf>
    <xf numFmtId="164" fontId="0" fillId="0" borderId="0" xfId="0" applyNumberFormat="1" applyFont="1" applyFill="1" applyAlignment="1" applyProtection="1">
      <alignment horizontal="right"/>
      <protection locked="0"/>
    </xf>
    <xf numFmtId="164" fontId="0" fillId="2" borderId="0" xfId="0" applyNumberFormat="1" applyFill="1" applyAlignment="1" applyProtection="1">
      <alignment horizontal="right"/>
      <protection locked="0"/>
    </xf>
    <xf numFmtId="164" fontId="0" fillId="2" borderId="3" xfId="0" applyNumberFormat="1" applyFill="1" applyBorder="1" applyAlignment="1" applyProtection="1">
      <alignment horizontal="right"/>
      <protection locked="0"/>
    </xf>
    <xf numFmtId="164" fontId="0" fillId="2" borderId="0"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locked="0"/>
    </xf>
    <xf numFmtId="10" fontId="0" fillId="2" borderId="0" xfId="0" applyNumberFormat="1" applyFill="1" applyAlignment="1" applyProtection="1">
      <alignment horizontal="right"/>
      <protection locked="0"/>
    </xf>
    <xf numFmtId="164" fontId="0" fillId="0" borderId="0" xfId="2" applyNumberFormat="1" applyFont="1" applyBorder="1" applyAlignment="1" applyProtection="1">
      <alignment horizontal="right"/>
      <protection locked="0"/>
    </xf>
    <xf numFmtId="164" fontId="0" fillId="0" borderId="0" xfId="0" applyNumberFormat="1" applyBorder="1" applyAlignment="1" applyProtection="1">
      <alignment horizontal="right"/>
      <protection locked="0"/>
    </xf>
    <xf numFmtId="10" fontId="0" fillId="0" borderId="0" xfId="0" applyNumberFormat="1" applyFill="1" applyAlignment="1" applyProtection="1">
      <alignment horizontal="right"/>
      <protection locked="0"/>
    </xf>
    <xf numFmtId="164" fontId="0" fillId="2" borderId="0" xfId="0" applyNumberFormat="1" applyFill="1" applyAlignment="1" applyProtection="1">
      <alignment horizontal="right"/>
      <protection hidden="1"/>
    </xf>
    <xf numFmtId="0" fontId="0" fillId="0" borderId="0" xfId="0" applyNumberFormat="1"/>
    <xf numFmtId="0" fontId="0" fillId="0" borderId="0" xfId="0" applyNumberFormat="1" applyFill="1" applyProtection="1">
      <protection locked="0"/>
    </xf>
    <xf numFmtId="0" fontId="0" fillId="2" borderId="0" xfId="0" applyNumberFormat="1" applyFill="1" applyProtection="1">
      <protection locked="0"/>
    </xf>
    <xf numFmtId="0" fontId="0" fillId="0" borderId="0" xfId="0" applyNumberFormat="1" applyFill="1" applyAlignment="1" applyProtection="1">
      <alignment horizontal="right"/>
    </xf>
    <xf numFmtId="14" fontId="0" fillId="0" borderId="0" xfId="0" applyNumberFormat="1" applyFill="1" applyAlignment="1" applyProtection="1">
      <alignment horizontal="right"/>
    </xf>
    <xf numFmtId="0" fontId="0" fillId="2" borderId="0" xfId="0" applyNumberFormat="1" applyFill="1" applyAlignment="1" applyProtection="1">
      <alignment horizontal="right"/>
    </xf>
    <xf numFmtId="0" fontId="1" fillId="0" borderId="1" xfId="0" applyFont="1" applyBorder="1" applyProtection="1">
      <protection hidden="1"/>
    </xf>
    <xf numFmtId="0" fontId="0" fillId="2" borderId="0" xfId="0" applyFont="1" applyFill="1" applyBorder="1" applyAlignment="1" applyProtection="1">
      <alignment wrapText="1"/>
      <protection hidden="1"/>
    </xf>
    <xf numFmtId="0" fontId="1" fillId="0" borderId="0" xfId="0" applyFont="1" applyBorder="1" applyProtection="1">
      <protection hidden="1"/>
    </xf>
    <xf numFmtId="0" fontId="1" fillId="0" borderId="0" xfId="0" applyFont="1" applyProtection="1">
      <protection hidden="1"/>
    </xf>
    <xf numFmtId="0" fontId="1" fillId="0" borderId="0" xfId="0" applyFont="1" applyFill="1" applyProtection="1">
      <protection hidden="1"/>
    </xf>
    <xf numFmtId="0" fontId="0" fillId="0" borderId="3" xfId="0" applyFill="1" applyBorder="1" applyProtection="1">
      <protection hidden="1"/>
    </xf>
    <xf numFmtId="0" fontId="0" fillId="0" borderId="0" xfId="0" applyFill="1" applyBorder="1" applyProtection="1">
      <protection hidden="1"/>
    </xf>
    <xf numFmtId="0" fontId="0" fillId="0" borderId="1" xfId="0" applyFill="1" applyBorder="1" applyProtection="1">
      <protection hidden="1"/>
    </xf>
    <xf numFmtId="0" fontId="0" fillId="2" borderId="0" xfId="0" applyFont="1" applyFill="1" applyProtection="1">
      <protection hidden="1"/>
    </xf>
    <xf numFmtId="0" fontId="1" fillId="2" borderId="2" xfId="0" applyFont="1" applyFill="1" applyBorder="1" applyProtection="1">
      <protection hidden="1"/>
    </xf>
    <xf numFmtId="0" fontId="1" fillId="2" borderId="0" xfId="0" applyFont="1" applyFill="1" applyBorder="1" applyProtection="1">
      <protection hidden="1"/>
    </xf>
    <xf numFmtId="0" fontId="0" fillId="2" borderId="3" xfId="0" applyFill="1" applyBorder="1" applyProtection="1">
      <protection hidden="1"/>
    </xf>
    <xf numFmtId="0" fontId="0" fillId="2" borderId="0" xfId="0" applyFill="1" applyBorder="1" applyProtection="1">
      <protection hidden="1"/>
    </xf>
    <xf numFmtId="0" fontId="0" fillId="2" borderId="1" xfId="0" applyFill="1" applyBorder="1" applyProtection="1">
      <protection hidden="1"/>
    </xf>
    <xf numFmtId="0" fontId="0" fillId="0" borderId="0" xfId="0" applyFill="1" applyProtection="1">
      <protection hidden="1"/>
    </xf>
    <xf numFmtId="0" fontId="0" fillId="0" borderId="0" xfId="0" applyFill="1" applyAlignment="1" applyProtection="1">
      <alignment wrapText="1"/>
      <protection hidden="1"/>
    </xf>
    <xf numFmtId="0" fontId="1" fillId="3" borderId="0" xfId="0" applyFont="1" applyFill="1" applyProtection="1">
      <protection hidden="1"/>
    </xf>
    <xf numFmtId="0" fontId="1" fillId="0" borderId="3" xfId="0" applyFont="1" applyBorder="1" applyProtection="1">
      <protection hidden="1"/>
    </xf>
    <xf numFmtId="0" fontId="1" fillId="2" borderId="1" xfId="0" applyFont="1" applyFill="1" applyBorder="1" applyProtection="1">
      <protection hidden="1"/>
    </xf>
    <xf numFmtId="0" fontId="0" fillId="0" borderId="0" xfId="0" applyFont="1" applyBorder="1" applyProtection="1">
      <protection hidden="1"/>
    </xf>
    <xf numFmtId="0" fontId="0" fillId="0" borderId="0" xfId="0" applyFont="1" applyFill="1" applyBorder="1" applyProtection="1">
      <protection hidden="1"/>
    </xf>
    <xf numFmtId="0" fontId="0" fillId="2" borderId="0" xfId="0" applyFont="1" applyFill="1" applyBorder="1" applyProtection="1">
      <protection hidden="1"/>
    </xf>
    <xf numFmtId="0" fontId="1" fillId="2" borderId="0" xfId="0" applyFont="1" applyFill="1" applyBorder="1" applyAlignment="1" applyProtection="1">
      <alignment wrapText="1"/>
      <protection hidden="1"/>
    </xf>
    <xf numFmtId="0" fontId="1" fillId="0" borderId="2" xfId="0" applyFont="1" applyBorder="1" applyProtection="1">
      <protection hidden="1"/>
    </xf>
    <xf numFmtId="0" fontId="1" fillId="2" borderId="3" xfId="0" applyFont="1" applyFill="1" applyBorder="1" applyProtection="1">
      <protection hidden="1"/>
    </xf>
    <xf numFmtId="0" fontId="0" fillId="2" borderId="0" xfId="0" applyNumberFormat="1" applyFont="1" applyFill="1" applyAlignment="1" applyProtection="1">
      <alignment horizontal="right" wrapText="1"/>
      <protection locked="0"/>
    </xf>
    <xf numFmtId="164" fontId="0" fillId="2" borderId="0" xfId="0" applyNumberFormat="1" applyFont="1" applyFill="1" applyProtection="1">
      <protection locked="0"/>
    </xf>
    <xf numFmtId="164" fontId="0" fillId="2" borderId="0" xfId="0" applyNumberFormat="1" applyFont="1" applyFill="1" applyAlignment="1" applyProtection="1">
      <alignment horizontal="right"/>
      <protection locked="0"/>
    </xf>
    <xf numFmtId="14" fontId="0" fillId="2" borderId="0" xfId="0" applyNumberFormat="1" applyFill="1" applyAlignment="1" applyProtection="1">
      <alignment horizontal="right"/>
      <protection hidden="1"/>
    </xf>
    <xf numFmtId="0" fontId="0" fillId="2" borderId="0" xfId="0" applyNumberFormat="1" applyFill="1" applyAlignment="1" applyProtection="1">
      <alignment wrapText="1"/>
      <protection hidden="1"/>
    </xf>
    <xf numFmtId="0" fontId="0" fillId="0" borderId="0" xfId="0" applyNumberFormat="1" applyFill="1" applyAlignment="1" applyProtection="1">
      <alignment horizontal="right" wrapText="1"/>
      <protection hidden="1"/>
    </xf>
    <xf numFmtId="0" fontId="0" fillId="0" borderId="1" xfId="0" applyBorder="1" applyProtection="1">
      <protection hidden="1"/>
    </xf>
    <xf numFmtId="0" fontId="0" fillId="0" borderId="0" xfId="0" applyBorder="1" applyProtection="1">
      <protection hidden="1"/>
    </xf>
    <xf numFmtId="0" fontId="0" fillId="0" borderId="0" xfId="0" applyBorder="1" applyAlignment="1" applyProtection="1">
      <alignment horizontal="right"/>
      <protection hidden="1"/>
    </xf>
    <xf numFmtId="0" fontId="0" fillId="0" borderId="0" xfId="0" applyNumberFormat="1" applyProtection="1">
      <protection hidden="1"/>
    </xf>
    <xf numFmtId="0" fontId="0" fillId="0" borderId="0" xfId="0" applyNumberFormat="1" applyFill="1" applyAlignment="1" applyProtection="1">
      <alignment horizontal="right"/>
      <protection hidden="1"/>
    </xf>
    <xf numFmtId="14" fontId="0" fillId="0" borderId="0" xfId="0" applyNumberFormat="1" applyFill="1" applyAlignment="1" applyProtection="1">
      <alignment horizontal="right"/>
      <protection hidden="1"/>
    </xf>
    <xf numFmtId="10" fontId="0" fillId="2" borderId="0" xfId="0" applyNumberFormat="1" applyFill="1" applyAlignment="1" applyProtection="1">
      <alignment horizontal="right"/>
      <protection hidden="1"/>
    </xf>
    <xf numFmtId="0" fontId="0" fillId="0" borderId="0" xfId="0" applyAlignment="1"/>
    <xf numFmtId="0" fontId="0" fillId="2" borderId="0" xfId="0" applyNumberFormat="1" applyFill="1" applyAlignment="1" applyProtection="1">
      <protection hidden="1"/>
    </xf>
  </cellXfs>
  <cellStyles count="3">
    <cellStyle name="Komma" xfId="2" builtinId="3"/>
    <cellStyle name="Normal" xfId="0" builtinId="0"/>
    <cellStyle name="Procent" xfId="1" builtinId="5"/>
  </cellStyles>
  <dxfs count="100">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ont>
        <b/>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ont>
        <b/>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ont>
        <b/>
        <i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tabSelected="1" zoomScaleNormal="100" workbookViewId="0"/>
  </sheetViews>
  <sheetFormatPr defaultRowHeight="15" x14ac:dyDescent="0.25"/>
  <cols>
    <col min="1" max="1" width="94.28515625" customWidth="1"/>
    <col min="2" max="2" width="53.140625" customWidth="1"/>
    <col min="3" max="3" width="17.5703125" customWidth="1"/>
  </cols>
  <sheetData>
    <row r="1" spans="1:3" x14ac:dyDescent="0.25">
      <c r="A1" s="92" t="s">
        <v>130</v>
      </c>
      <c r="B1" s="2"/>
    </row>
    <row r="2" spans="1:3" ht="29.1" customHeight="1" x14ac:dyDescent="0.25">
      <c r="A2" s="93" t="s">
        <v>128</v>
      </c>
      <c r="B2" s="7"/>
    </row>
    <row r="3" spans="1:3" x14ac:dyDescent="0.25">
      <c r="A3" s="94"/>
      <c r="B3" s="6"/>
    </row>
    <row r="4" spans="1:3" x14ac:dyDescent="0.25">
      <c r="A4" s="94" t="s">
        <v>11</v>
      </c>
      <c r="B4" s="10" t="s">
        <v>133</v>
      </c>
    </row>
    <row r="5" spans="1:3" x14ac:dyDescent="0.25">
      <c r="A5" s="95" t="s">
        <v>0</v>
      </c>
      <c r="B5" s="27" t="s">
        <v>134</v>
      </c>
    </row>
    <row r="6" spans="1:3" x14ac:dyDescent="0.25">
      <c r="A6" s="26" t="s">
        <v>2</v>
      </c>
      <c r="B6" s="5">
        <v>43899</v>
      </c>
    </row>
    <row r="7" spans="1:3" x14ac:dyDescent="0.25">
      <c r="A7" s="26" t="s">
        <v>3</v>
      </c>
      <c r="B7" s="5">
        <v>44020</v>
      </c>
    </row>
    <row r="8" spans="1:3" x14ac:dyDescent="0.25">
      <c r="A8" s="95"/>
      <c r="B8" s="86"/>
    </row>
    <row r="9" spans="1:3" x14ac:dyDescent="0.25">
      <c r="A9" s="95" t="s">
        <v>35</v>
      </c>
      <c r="B9" s="27" t="s">
        <v>7</v>
      </c>
    </row>
    <row r="10" spans="1:3" x14ac:dyDescent="0.25">
      <c r="A10" s="95"/>
      <c r="B10" s="86"/>
    </row>
    <row r="11" spans="1:3" x14ac:dyDescent="0.25">
      <c r="A11" s="95" t="s">
        <v>53</v>
      </c>
      <c r="B11" s="86"/>
    </row>
    <row r="12" spans="1:3" x14ac:dyDescent="0.25">
      <c r="A12" s="17" t="s">
        <v>52</v>
      </c>
      <c r="B12" s="73" t="s">
        <v>126</v>
      </c>
    </row>
    <row r="13" spans="1:3" x14ac:dyDescent="0.25">
      <c r="A13" s="17"/>
      <c r="B13" s="86"/>
    </row>
    <row r="14" spans="1:3" x14ac:dyDescent="0.25">
      <c r="A14" s="95" t="s">
        <v>28</v>
      </c>
      <c r="B14" s="27" t="s">
        <v>7</v>
      </c>
      <c r="C14" s="130" t="str">
        <f>IF(B14="Anden referenceperiode (kun ved særlige omstændigheder)","Begrundelse for valg af anden referenceperiode skal vedlægges som bilag.","")</f>
        <v/>
      </c>
    </row>
    <row r="15" spans="1:3" x14ac:dyDescent="0.25">
      <c r="A15" s="26" t="s">
        <v>37</v>
      </c>
      <c r="B15" s="8" t="s">
        <v>7</v>
      </c>
    </row>
    <row r="16" spans="1:3" x14ac:dyDescent="0.25">
      <c r="A16" s="26" t="s">
        <v>38</v>
      </c>
      <c r="B16" s="8" t="s">
        <v>7</v>
      </c>
    </row>
    <row r="17" spans="1:2" x14ac:dyDescent="0.25">
      <c r="A17" s="26" t="s">
        <v>30</v>
      </c>
      <c r="B17" s="8" t="s">
        <v>7</v>
      </c>
    </row>
    <row r="18" spans="1:2" x14ac:dyDescent="0.25">
      <c r="A18" s="26" t="s">
        <v>41</v>
      </c>
      <c r="B18" s="8" t="s">
        <v>7</v>
      </c>
    </row>
    <row r="19" spans="1:2" x14ac:dyDescent="0.25">
      <c r="A19" s="17" t="str">
        <f>"Realiseret omsætning i alt i perioden "&amp;IF($B$14="Anden referenceperiode (kun ved særlige omstændigheder)",IF(OR($B$15="Vælg/Indtast",$B$16="Vælg/Indtast"),"",TEXT($B$15,"dd-mm-åååå")&amp;" til "&amp;TEXT($B$16,"dd-mm-åååå")),IF($B$14="Institution stiftet efter 1. dec. 2019",IF(OR($B$17="Vælg/Indtast",$B$18="Vælg/Indtast"),"",TEXT($B$17,"dd-mm-åååå")&amp;" til "&amp;TEXT($B$18,"dd-mm-åååå")),IF($B$14="Vælg/Indtast","",$B$14)))</f>
        <v xml:space="preserve">Realiseret omsætning i alt i perioden </v>
      </c>
      <c r="B19" s="73" t="s">
        <v>126</v>
      </c>
    </row>
    <row r="20" spans="1:2" x14ac:dyDescent="0.25">
      <c r="A20" s="17" t="str">
        <f>"Realiseret kommerciel omsætning i alt i perioden "&amp;IF($B$14="Anden referenceperiode (kun ved særlige omstændigheder)",IF(OR($B$15="Vælg/Indtast",$B$16="Vælg/Indtast"),"",TEXT($B$15,"dd-mm-åååå")&amp;" til "&amp;TEXT($B$16,"dd-mm-åååå")),IF($B$14="Institution stiftet efter 1. dec. 2019",IF(OR($B$17="Vælg/Indtast",$B$18="Vælg/Indtast"),"",TEXT($B$17,"dd-mm-åååå")&amp;" til "&amp;TEXT($B$18,"dd-mm-åååå")),IF($B$14="Vælg/Indtast","",$B$14)))</f>
        <v xml:space="preserve">Realiseret kommerciel omsætning i alt i perioden </v>
      </c>
      <c r="B20" s="73" t="s">
        <v>126</v>
      </c>
    </row>
    <row r="21" spans="1:2" x14ac:dyDescent="0.25">
      <c r="A21" s="25" t="s">
        <v>68</v>
      </c>
      <c r="B21" s="21" t="str">
        <f>IF(OR(B17="Vælg/Indtast",B18="Vælg/Indtast",B20=""),"",IF(AND(B14="Institution stiftet efter 1. dec. 2019",AND(B17&lt;&gt;"",B18&lt;&gt;""),OR(AND(AND(B17&gt;=DATE(2019,12,1),B17&lt;=DATE(2019,12,31)),AND(B18&gt;=DATE(2020,1,1),B18&lt;=DATE(2020,1,31)),_xlfn.DAYS(B18,B17)+1&gt;=31),AND(AND(B17&gt;=DATE(2020,1,1),B17&lt;=DATE(2020,1,30)),AND(B18&gt;=DATE(2020,2,1),B18&lt;=DATE(2020,2,29)),_xlfn.DAYS(B18,B17)+1&gt;=31),AND(B17=DATE(2020,1,31),B18=DATE(2020,2,29)),AND(AND(B17&gt;=DATE(2020,2,1),B17&lt;=DATE(2020,2,29)),AND(B18&gt;=DATE(2020,3,1),B18&lt;=DATE(2020,3,9)),_xlfn.DAYS(B18,B17)+1&gt;=29),AND(B17=DATE(2019,12,1),B18=DATE(2019,12,31)),AND(B17=DATE(2020,1,1),B18=DATE(2020,1,31)),AND(B17=DATE(2020,2,1),B18=DATE(2020,2,29)),AND(AND(B17&gt;=DATE(2019,12,1),B17&lt;=DATE(2019,12,31)),AND(B18&gt;=DATE(2020,2,1),B18&lt;=DATE(2020,2,29))),AND(AND(B17&gt;=DATE(2019,12,1),B17&lt;=DATE(2019,12,31)),AND(B18&gt;=DATE(2020,3,1),B18&lt;=DATE(2020,3,9))),AND(AND(B17&gt;=DATE(2020,1,1),B17&lt;=DATE(2020,1,31)),AND(B18&gt;=DATE(2020,3,1),B18&lt;=DATE(2020,3,9))))),B20*(122/(_xlfn.DAYS(B18,B17)+1)),IF(B14&lt;&gt;"Institution stiftet efter 1. dec. 2019","","Referenceperioden skal minimum opgøre en måned.")))</f>
        <v/>
      </c>
    </row>
    <row r="22" spans="1:2" x14ac:dyDescent="0.25">
      <c r="A22" s="17"/>
      <c r="B22" s="34"/>
    </row>
    <row r="23" spans="1:2" x14ac:dyDescent="0.25">
      <c r="A23" s="95" t="s">
        <v>55</v>
      </c>
      <c r="B23" s="28" t="s">
        <v>7</v>
      </c>
    </row>
    <row r="24" spans="1:2" x14ac:dyDescent="0.25">
      <c r="A24" s="26" t="s">
        <v>30</v>
      </c>
      <c r="B24" s="8" t="s">
        <v>7</v>
      </c>
    </row>
    <row r="25" spans="1:2" x14ac:dyDescent="0.25">
      <c r="A25" s="26" t="s">
        <v>31</v>
      </c>
      <c r="B25" s="120">
        <v>43899</v>
      </c>
    </row>
    <row r="26" spans="1:2" x14ac:dyDescent="0.25">
      <c r="A26" s="96"/>
      <c r="B26" s="89"/>
    </row>
    <row r="27" spans="1:2" x14ac:dyDescent="0.25">
      <c r="A27" s="26" t="str">
        <f>"Oplys realiserede faste omkostninger "&amp;IF(B23="Vælg/Indtast","",IF(B23="Institution stiftet efter 1. dec. 2019",IF(OR(B24="",B24="Vælg/Indtast"),"","i perioden "&amp;TEXT(B24,"dd-mm-åååå")&amp;" til "&amp;TEXT(B25,"dd-mm-åååå")),IF(B23="01-11-2019 til 29-02-2020","i perioden "&amp;B23)))&amp;" herunder."</f>
        <v>Oplys realiserede faste omkostninger  herunder.</v>
      </c>
      <c r="B27" s="91"/>
    </row>
    <row r="28" spans="1:2" x14ac:dyDescent="0.25">
      <c r="A28" s="96"/>
      <c r="B28" s="90"/>
    </row>
    <row r="29" spans="1:2" x14ac:dyDescent="0.25">
      <c r="A29" s="97" t="s">
        <v>93</v>
      </c>
      <c r="B29" s="74" t="s">
        <v>126</v>
      </c>
    </row>
    <row r="30" spans="1:2" x14ac:dyDescent="0.25">
      <c r="A30" s="98" t="s">
        <v>94</v>
      </c>
      <c r="B30" s="73" t="s">
        <v>126</v>
      </c>
    </row>
    <row r="31" spans="1:2" x14ac:dyDescent="0.25">
      <c r="A31" s="98" t="s">
        <v>110</v>
      </c>
      <c r="B31" s="73" t="s">
        <v>126</v>
      </c>
    </row>
    <row r="32" spans="1:2" x14ac:dyDescent="0.25">
      <c r="A32" s="98" t="s">
        <v>96</v>
      </c>
      <c r="B32" s="73" t="s">
        <v>126</v>
      </c>
    </row>
    <row r="33" spans="1:2" x14ac:dyDescent="0.25">
      <c r="A33" s="98" t="s">
        <v>97</v>
      </c>
      <c r="B33" s="73" t="s">
        <v>126</v>
      </c>
    </row>
    <row r="34" spans="1:2" x14ac:dyDescent="0.25">
      <c r="A34" s="98" t="s">
        <v>111</v>
      </c>
      <c r="B34" s="73" t="s">
        <v>126</v>
      </c>
    </row>
    <row r="35" spans="1:2" x14ac:dyDescent="0.25">
      <c r="A35" s="98" t="s">
        <v>99</v>
      </c>
      <c r="B35" s="73" t="s">
        <v>126</v>
      </c>
    </row>
    <row r="36" spans="1:2" x14ac:dyDescent="0.25">
      <c r="A36" s="99" t="s">
        <v>121</v>
      </c>
      <c r="B36" s="75" t="s">
        <v>126</v>
      </c>
    </row>
    <row r="37" spans="1:2" x14ac:dyDescent="0.25">
      <c r="A37" s="96"/>
      <c r="B37" s="122" t="str">
        <f>IF(ISNUMBER(B36),IF(B36/B38&gt;0.2,"Ansøger skal indsende en udspecificeret liste over de øvrige omkostninger.",""),"")</f>
        <v/>
      </c>
    </row>
    <row r="38" spans="1:2" x14ac:dyDescent="0.25">
      <c r="A38" s="25" t="str">
        <f>"Realiserede faste omkostninger "&amp;IF(B23="Vælg/Indtast","",IF(B23="Institution stiftet efter 1. dec. 2019",IF(OR(B24="",B25=""),"","i perioden "&amp;TEXT(B24,"dd-mm-åååå")&amp;" til "&amp;TEXT(B25,"dd-mm-åååå")),IF(B23="01-11-2019 til 29-02-2020","i perioden "&amp;B23)))</f>
        <v xml:space="preserve">Realiserede faste omkostninger </v>
      </c>
      <c r="B38" s="21" t="str">
        <f>IF(SUM(B29:B36)=0,"",SUM(B29:B36))</f>
        <v/>
      </c>
    </row>
    <row r="39" spans="1:2" x14ac:dyDescent="0.25">
      <c r="A39" s="17" t="s">
        <v>17</v>
      </c>
      <c r="B39" s="76" t="s">
        <v>126</v>
      </c>
    </row>
    <row r="40" spans="1:2" x14ac:dyDescent="0.25">
      <c r="A40" s="100" t="s">
        <v>14</v>
      </c>
      <c r="B40" s="14" t="str">
        <f>IFERROR(IF(AND(ISNUMBER(B38),ISNUMBER(B39)),(B39-B38)/B38,""),"")</f>
        <v/>
      </c>
    </row>
    <row r="41" spans="1:2" x14ac:dyDescent="0.25">
      <c r="A41" s="25" t="s">
        <v>15</v>
      </c>
      <c r="B41" s="131" t="str">
        <f>IFERROR(IF(ISNUMBER(B40),IF(ABS(B40)&gt;0.1,"Ansøger skal vedlægge et bilag, der forklarer, hvad afvigelsen skyldes, og hvorfor den ikke kunne afværges.",""),""),"")</f>
        <v/>
      </c>
    </row>
    <row r="42" spans="1:2" x14ac:dyDescent="0.25">
      <c r="A42" s="17"/>
      <c r="B42" s="87"/>
    </row>
    <row r="43" spans="1:2" x14ac:dyDescent="0.25">
      <c r="A43" s="26" t="s">
        <v>18</v>
      </c>
      <c r="B43" s="14" t="str">
        <f>IFERROR(IF(OR(B12="",B20=""),"",(IF(B14="Institution stiftet efter 1. dec. 2019",B21,B20)-IF(ISNUMBER(B60),B60,0)-B12-IF(ISNUMBER(B54),B54,0))/(IF(B14="Institution stiftet efter 1. dec. 2019",B21,B20)-IF(ISNUMBER(B60),B60,0))),"")</f>
        <v/>
      </c>
    </row>
    <row r="44" spans="1:2" x14ac:dyDescent="0.25">
      <c r="A44" s="26" t="s">
        <v>56</v>
      </c>
      <c r="B44" s="15" t="str">
        <f>IF($B$43="","",IF(AND($B$9="Hele kompensationsperioden",$B$12=0),1,IF(AND($B$43&gt;=0.8,$B$43&lt;=1),2,IF(AND($B$43&gt;=0.6,$B$43&lt;8),3,IF(AND($B$43&gt;=0.35,$B$43&lt;0.6),4,IF($B$43&lt;0.35,"Omsætningsnedgangen opfylder ikke kravet om nedgang på minimum 35 pct."))))))</f>
        <v/>
      </c>
    </row>
    <row r="45" spans="1:2" x14ac:dyDescent="0.25">
      <c r="A45" s="26" t="s">
        <v>57</v>
      </c>
      <c r="B45" s="14" t="str">
        <f>IF(B44="","",IF(B44=1,1,IF(B44=2,0.8,IF(B44=3,0.5,IF(B44=4,0.25,IF(B44="Omsætningsnedgangen opfylder ikke kravet om nedgang på minimum 35 pct.",0))))))</f>
        <v/>
      </c>
    </row>
    <row r="46" spans="1:2" x14ac:dyDescent="0.25">
      <c r="A46" s="26" t="s">
        <v>66</v>
      </c>
      <c r="B46" s="14" t="str">
        <f>IFERROR(IF(OR(B12="",B12="Indtast beløb"),"",(B20-IF(ISNUMBER(B60),B60,0))/(B19-IF(ISNUMBER(B59),B59,0))),"")</f>
        <v/>
      </c>
    </row>
    <row r="47" spans="1:2" x14ac:dyDescent="0.25">
      <c r="A47" s="96"/>
      <c r="B47" s="87"/>
    </row>
    <row r="48" spans="1:2" x14ac:dyDescent="0.25">
      <c r="A48" s="101" t="s">
        <v>100</v>
      </c>
      <c r="B48" s="16" t="str">
        <f>IFERROR(MAX(IF(B45="","",IF(B44="Omsætningsnedgangen opfylder ikke kravet om nedgang på minimum 35 pct.",0,(B39-IF(ISNUMBER(B80),B80,0))*B46*B45)),0),"")</f>
        <v/>
      </c>
    </row>
    <row r="49" spans="1:2" x14ac:dyDescent="0.25">
      <c r="A49" s="95"/>
      <c r="B49" s="87"/>
    </row>
    <row r="50" spans="1:2" x14ac:dyDescent="0.25">
      <c r="A50" s="102" t="s">
        <v>19</v>
      </c>
      <c r="B50" s="12"/>
    </row>
    <row r="51" spans="1:2" x14ac:dyDescent="0.25">
      <c r="A51" s="25" t="s">
        <v>27</v>
      </c>
      <c r="B51" s="8" t="s">
        <v>7</v>
      </c>
    </row>
    <row r="52" spans="1:2" x14ac:dyDescent="0.25">
      <c r="A52" s="25" t="s">
        <v>20</v>
      </c>
      <c r="B52" s="8" t="s">
        <v>7</v>
      </c>
    </row>
    <row r="53" spans="1:2" x14ac:dyDescent="0.25">
      <c r="A53" s="25"/>
      <c r="B53" s="12"/>
    </row>
    <row r="54" spans="1:2" x14ac:dyDescent="0.25">
      <c r="A54" s="25" t="str">
        <f>"Forventet kommerciel omsætning i alt i forbudskompensationsperioden "&amp;IF(OR($B$51="Vælg/Indtast",$B$52="Vælg/Indtast"),"",TEXT($B$51,"dd-mm-åååå")&amp;" til "&amp;TEXT($B$52,"dd-mm-åååå"))</f>
        <v xml:space="preserve">Forventet kommerciel omsætning i alt i forbudskompensationsperioden </v>
      </c>
      <c r="B54" s="77" t="s">
        <v>126</v>
      </c>
    </row>
    <row r="55" spans="1:2" x14ac:dyDescent="0.25">
      <c r="A55" s="25"/>
      <c r="B55" s="12"/>
    </row>
    <row r="56" spans="1:2" x14ac:dyDescent="0.25">
      <c r="A56" s="26" t="s">
        <v>29</v>
      </c>
      <c r="B56" s="12"/>
    </row>
    <row r="57" spans="1:2" x14ac:dyDescent="0.25">
      <c r="A57" s="26" t="str">
        <f>"Referenceperiode start dato"&amp;" "&amp;IF($B$14="Anden referenceperiode (kun ved særlige omstændigheder)","(i perioden "&amp;TEXT($B$15,"dd-mm-åååå")&amp;" til "&amp;TEXT($B$16,"dd-mm-åååå")&amp;")",IF($B$14="Institution stiftet efter 1. dec. 2019","(i perioden "&amp;TEXT($B$17,"dd-mm-åååå")&amp;" til "&amp;TEXT($B$18,"dd-mm-åååå")&amp;")",IF($B$14="Vælg/Indtast","","(i perioden "&amp;$B$14&amp;")")))</f>
        <v xml:space="preserve">Referenceperiode start dato </v>
      </c>
      <c r="B57" s="8" t="s">
        <v>7</v>
      </c>
    </row>
    <row r="58" spans="1:2" x14ac:dyDescent="0.25">
      <c r="A58" s="26" t="str">
        <f>"Referenceperiode slut dato"&amp;" "&amp;IF($B$14="Anden referenceperiode (kun ved særlige omstændigheder)","(i perioden "&amp;TEXT($B$15,"dd-mm-åååå")&amp;" til "&amp;TEXT($B$16,"dd-mm-åååå")&amp;")",IF($B$14="Institution stiftet efter 1. dec. 2019","(i perioden "&amp;TEXT($B$17,"dd-mm-åååå")&amp;" til "&amp;TEXT($B$18,"dd-mm-åååå")&amp;")",IF($B$14="Vælg/Indtast","","(i perioden "&amp;$B$14&amp;")")))</f>
        <v xml:space="preserve">Referenceperiode slut dato </v>
      </c>
      <c r="B58" s="8" t="s">
        <v>7</v>
      </c>
    </row>
    <row r="59" spans="1:2" x14ac:dyDescent="0.25">
      <c r="A59" s="25" t="str">
        <f>"Realiseret omsætning i alt i forbudsreferenceperioden "&amp;IF(OR($B$57="",$B$58="",$B$57="Vælg/Indtast",$B$58="Vælg/Indtast"),"",TEXT($B$57,"dd-mm-åååå")&amp;" til "&amp;TEXT($B$58,"dd-mm-åååå"))</f>
        <v xml:space="preserve">Realiseret omsætning i alt i forbudsreferenceperioden </v>
      </c>
      <c r="B59" s="77" t="s">
        <v>126</v>
      </c>
    </row>
    <row r="60" spans="1:2" x14ac:dyDescent="0.25">
      <c r="A60" s="25" t="str">
        <f>"Realiseret kommerciel omsætning i alt i forbudsreferenceperioden "&amp;IF(OR($B$57="",$B$58="",$B$57="Vælg/Indtast",$B$58="Vælg/Indtast"),"",TEXT($B$57,"dd-mm-åååå")&amp;" til "&amp;TEXT($B$58,"dd-mm-åååå"))</f>
        <v xml:space="preserve">Realiseret kommerciel omsætning i alt i forbudsreferenceperioden </v>
      </c>
      <c r="B60" s="77" t="s">
        <v>126</v>
      </c>
    </row>
    <row r="61" spans="1:2" x14ac:dyDescent="0.25">
      <c r="A61" s="25" t="s">
        <v>69</v>
      </c>
      <c r="B61" s="21" t="str">
        <f>IFERROR(IF(ISNUMBER(B60),B60*(_xlfn.DAYS(B52,B51)+1)/(_xlfn.DAYS(B58,B57)+1),""),"")</f>
        <v/>
      </c>
    </row>
    <row r="62" spans="1:2" x14ac:dyDescent="0.25">
      <c r="A62" s="25"/>
      <c r="B62" s="12"/>
    </row>
    <row r="63" spans="1:2" x14ac:dyDescent="0.25">
      <c r="A63" s="26" t="s">
        <v>32</v>
      </c>
      <c r="B63" s="12"/>
    </row>
    <row r="64" spans="1:2" x14ac:dyDescent="0.25">
      <c r="A64" s="26" t="str">
        <f>"Referenceperiode start dato "&amp;IF($B$23="Institution stiftet efter 1. dec. 2019",IF(OR(B24="",B25=""),"","(i perioden "&amp;TEXT($B$24,"dd-mm-åååå")&amp;" til "&amp;TEXT($B$25,"dd-mm-åååå")&amp;")"),IF($B$23="Vælg/Indtast","","(i perioden "&amp;B23&amp;")"))</f>
        <v xml:space="preserve">Referenceperiode start dato </v>
      </c>
      <c r="B64" s="8" t="s">
        <v>7</v>
      </c>
    </row>
    <row r="65" spans="1:2" x14ac:dyDescent="0.25">
      <c r="A65" s="26" t="str">
        <f>"Referenceperiode slut dato "&amp;IF($B$23="Institution stiftet efter 1. dec. 2019",IF(OR(B25="",B38=""),"","(i perioden "&amp;TEXT($B$24,"dd-mm-åååå")&amp;" til "&amp;TEXT($B$25,"dd-mm-åååå")&amp;")"),IF($B$23="Vælg/Indtast","","(i perioden "&amp;B23&amp;")"))</f>
        <v xml:space="preserve">Referenceperiode slut dato </v>
      </c>
      <c r="B65" s="8" t="s">
        <v>7</v>
      </c>
    </row>
    <row r="66" spans="1:2" x14ac:dyDescent="0.25">
      <c r="A66" s="26"/>
      <c r="B66" s="88"/>
    </row>
    <row r="67" spans="1:2" x14ac:dyDescent="0.25">
      <c r="A67" s="26" t="str">
        <f>"Oplys realiserede faste omkostninger "&amp;"i perioden "&amp;IF(OR(B64="",B64="Vælg/Indtast"),"",TEXT(B64,"dd-mm-åååå")&amp;" til ")&amp;IF(OR(B65="",B65="Vælg/Indtast"),"",TEXT(B65,"dd-mm-åååå"))</f>
        <v xml:space="preserve">Oplys realiserede faste omkostninger i perioden </v>
      </c>
      <c r="B67" s="72"/>
    </row>
    <row r="68" spans="1:2" x14ac:dyDescent="0.25">
      <c r="A68" s="26"/>
      <c r="B68" s="88"/>
    </row>
    <row r="69" spans="1:2" x14ac:dyDescent="0.25">
      <c r="A69" s="103" t="s">
        <v>93</v>
      </c>
      <c r="B69" s="78" t="s">
        <v>126</v>
      </c>
    </row>
    <row r="70" spans="1:2" x14ac:dyDescent="0.25">
      <c r="A70" s="104" t="s">
        <v>94</v>
      </c>
      <c r="B70" s="79" t="s">
        <v>126</v>
      </c>
    </row>
    <row r="71" spans="1:2" x14ac:dyDescent="0.25">
      <c r="A71" s="104" t="s">
        <v>95</v>
      </c>
      <c r="B71" s="79" t="s">
        <v>126</v>
      </c>
    </row>
    <row r="72" spans="1:2" x14ac:dyDescent="0.25">
      <c r="A72" s="104" t="s">
        <v>96</v>
      </c>
      <c r="B72" s="79" t="s">
        <v>126</v>
      </c>
    </row>
    <row r="73" spans="1:2" x14ac:dyDescent="0.25">
      <c r="A73" s="104" t="s">
        <v>97</v>
      </c>
      <c r="B73" s="79" t="s">
        <v>126</v>
      </c>
    </row>
    <row r="74" spans="1:2" x14ac:dyDescent="0.25">
      <c r="A74" s="104" t="s">
        <v>98</v>
      </c>
      <c r="B74" s="79" t="s">
        <v>126</v>
      </c>
    </row>
    <row r="75" spans="1:2" x14ac:dyDescent="0.25">
      <c r="A75" s="104" t="s">
        <v>99</v>
      </c>
      <c r="B75" s="79" t="s">
        <v>126</v>
      </c>
    </row>
    <row r="76" spans="1:2" x14ac:dyDescent="0.25">
      <c r="A76" s="105" t="s">
        <v>121</v>
      </c>
      <c r="B76" s="80" t="s">
        <v>126</v>
      </c>
    </row>
    <row r="77" spans="1:2" x14ac:dyDescent="0.25">
      <c r="A77" s="104"/>
      <c r="B77" s="44"/>
    </row>
    <row r="78" spans="1:2" x14ac:dyDescent="0.25">
      <c r="A78" s="104" t="str">
        <f>"Realiserede faste omkostninger i forbudsreferenceperioden "&amp;IF(OR(B64="",B65="",B64="Vælg/Indtast",B65="Vælg/Indtast"),"",TEXT(B64,"dd-mm-åååå")&amp;" til "&amp;TEXT(B65,"dd-mm-åååå"))</f>
        <v xml:space="preserve">Realiserede faste omkostninger i forbudsreferenceperioden </v>
      </c>
      <c r="B78" s="39" t="str">
        <f>IF(SUM(B69:B76)=0,"",SUM(B69:B76))</f>
        <v/>
      </c>
    </row>
    <row r="79" spans="1:2" x14ac:dyDescent="0.25">
      <c r="A79" s="25" t="s">
        <v>137</v>
      </c>
      <c r="B79" s="21" t="str">
        <f>IFERROR(IF(ISNUMBER(B78),B78*(_xlfn.DAYS(B52,B51)+1)/(_xlfn.DAYS(B65,B64)+1),""),"")</f>
        <v/>
      </c>
    </row>
    <row r="80" spans="1:2" x14ac:dyDescent="0.25">
      <c r="A80" s="25" t="str">
        <f>"Forventede faste omkostninger i forbudskompensationsperioden "&amp;IF(OR(B51="Vælg/Indtast",B52="Vælg/Indtast"),"",TEXT(B51,"dd-mm-åååå")&amp;" til "&amp;TEXT(B52,"dd-mm-åååå"))</f>
        <v xml:space="preserve">Forventede faste omkostninger i forbudskompensationsperioden </v>
      </c>
      <c r="B80" s="77" t="s">
        <v>126</v>
      </c>
    </row>
    <row r="81" spans="1:2" x14ac:dyDescent="0.25">
      <c r="A81" s="25" t="s">
        <v>14</v>
      </c>
      <c r="B81" s="14" t="str">
        <f>IFERROR(IF(AND(B79="",B80=""),"",(B80-B79)/B79),"")</f>
        <v/>
      </c>
    </row>
    <row r="82" spans="1:2" x14ac:dyDescent="0.25">
      <c r="A82" s="25" t="s">
        <v>15</v>
      </c>
      <c r="B82" s="72" t="str">
        <f>IFERROR(IF(ISNUMBER(B81),IF(ABS(B81)&gt;0.1,"Ansøger skal vedlægge et bilag, der forklarer, hvad afvigelsen skyldes, og hvorfor den ikke kunne afværges.",""),""),"")</f>
        <v/>
      </c>
    </row>
    <row r="83" spans="1:2" x14ac:dyDescent="0.25">
      <c r="A83" s="25"/>
      <c r="B83" s="12"/>
    </row>
    <row r="84" spans="1:2" x14ac:dyDescent="0.25">
      <c r="A84" s="26" t="s">
        <v>21</v>
      </c>
      <c r="B84" s="14" t="str">
        <f>IFERROR(IF(OR(B54="",B60=""),"",(B61-B54)/B61),"")</f>
        <v/>
      </c>
    </row>
    <row r="85" spans="1:2" x14ac:dyDescent="0.25">
      <c r="A85" s="26" t="s">
        <v>58</v>
      </c>
      <c r="B85" s="15" t="str">
        <f>IF(B84="","",IF(B54&gt;0,IF(AND(B84&gt;=0.8,B84&lt;=1),2,IF(AND(B84&gt;=0.6,B84&lt;0.8),3,IF(AND(B84&gt;=0.35,B84&lt;0.6),4,IF(B84&lt;0.35,"Omsætningsnedgangen opfylder ikke kravet om nedgang på minimum 35 pct.")))),IF(B54=0,1,"")))</f>
        <v/>
      </c>
    </row>
    <row r="86" spans="1:2" x14ac:dyDescent="0.25">
      <c r="A86" s="26" t="s">
        <v>59</v>
      </c>
      <c r="B86" s="14" t="str">
        <f>IF(B85="","",IF(B85=1,1,IF(B85=2,0.8,IF(B85=3,0.5,IF(B85=4,0.25,IF(B85="Omsætningsnedgangen opfylder ikke kravet om nedgang på minimum 35 pct.",0))))))</f>
        <v/>
      </c>
    </row>
    <row r="87" spans="1:2" x14ac:dyDescent="0.25">
      <c r="A87" s="26" t="s">
        <v>60</v>
      </c>
      <c r="B87" s="14" t="str">
        <f>IFERROR(IF(B60="","",B60/B59),"")</f>
        <v/>
      </c>
    </row>
    <row r="88" spans="1:2" x14ac:dyDescent="0.25">
      <c r="A88" s="96"/>
      <c r="B88" s="11"/>
    </row>
    <row r="89" spans="1:2" x14ac:dyDescent="0.25">
      <c r="A89" s="101" t="s">
        <v>74</v>
      </c>
      <c r="B89" s="16">
        <f>IFERROR(MAX(IF(B86="",0,B80*B87*B86),0),0)</f>
        <v>0</v>
      </c>
    </row>
    <row r="90" spans="1:2" x14ac:dyDescent="0.25">
      <c r="A90" s="17"/>
    </row>
    <row r="91" spans="1:2" x14ac:dyDescent="0.25">
      <c r="A91" s="101" t="s">
        <v>75</v>
      </c>
      <c r="B91" s="23">
        <f>IFERROR(MAX(IF(B48="","",IF(B39*B20/B19&lt;16666,"De faste omkostningers andel af de kommercielle indtægters andel af de samlede indtægter opfylder ikke kravet om at udgøre minimum 16.666 kr. i kompensationsperioden. Der kan derfor ikke udbetales kompensation.",IF(IF(B85="Omsætningsnedgangen opfylder ikke kravet om nedgang på minimum 35 pct.",B39*B112*B111,B48+B89)&gt;110000000,110000000,IF(IF(B85="Omsætningsnedgangen opfylder ikke kravet om nedgang på minimum 35 pct.",B39*B112*B111,B48+B89)&gt;IF(OR(B14&lt;&gt;"Institution stiftet efter 1. dec. 2019",B21=""),B20,B21)-B12,IF(OR(B14&lt;&gt;"Institution stiftet efter 1. dec. 2019",B21=""),B20,B21)-B12,IF(B85="Omsætningsnedgangen opfylder ikke kravet om nedgang på minimum 35 pct.",B39*B112*B111,B48+B89))))),0),0)</f>
        <v>0</v>
      </c>
    </row>
    <row r="92" spans="1:2" x14ac:dyDescent="0.25">
      <c r="A92" s="17"/>
    </row>
    <row r="93" spans="1:2" x14ac:dyDescent="0.25">
      <c r="A93" s="17" t="s">
        <v>45</v>
      </c>
    </row>
    <row r="94" spans="1:2" x14ac:dyDescent="0.25">
      <c r="A94" s="17"/>
    </row>
    <row r="95" spans="1:2" x14ac:dyDescent="0.25">
      <c r="A95" s="106" t="s">
        <v>42</v>
      </c>
      <c r="B95" s="32" t="s">
        <v>7</v>
      </c>
    </row>
    <row r="96" spans="1:2" x14ac:dyDescent="0.25">
      <c r="A96" s="25" t="s">
        <v>43</v>
      </c>
      <c r="B96" s="33" t="s">
        <v>7</v>
      </c>
    </row>
    <row r="97" spans="1:2" x14ac:dyDescent="0.25">
      <c r="A97" s="100" t="s">
        <v>61</v>
      </c>
      <c r="B97" s="33" t="s">
        <v>7</v>
      </c>
    </row>
    <row r="98" spans="1:2" x14ac:dyDescent="0.25">
      <c r="A98" s="25" t="s">
        <v>44</v>
      </c>
      <c r="B98" s="77" t="s">
        <v>126</v>
      </c>
    </row>
    <row r="99" spans="1:2" x14ac:dyDescent="0.25">
      <c r="A99" s="100" t="s">
        <v>87</v>
      </c>
      <c r="B99" s="117" t="s">
        <v>7</v>
      </c>
    </row>
    <row r="100" spans="1:2" x14ac:dyDescent="0.25">
      <c r="A100" s="17"/>
    </row>
    <row r="101" spans="1:2" x14ac:dyDescent="0.25">
      <c r="A101" s="25" t="s">
        <v>23</v>
      </c>
      <c r="B101" s="21" t="str">
        <f>IF(OR(AND(B95="Ja",B96="Nej",B97="Nej",B98=""),AND(ISNUMBER(B98),B99="Vælg/Indtast")),"Det seneste resultat skal oplyses i celle B97 og perioden i celle B98.",IF(ISNUMBER(B98),IF(B99="Årsregnskab med balancedag den 28. februar 2019 eller senere",(1/3),IF(B99="Halvårsregnskab med balancedag den 31. august 2019 eller senere",(2/3),IF(B99="Budgetteret resultat for kompensationsperioden, hvis COVID-19 ikke var en realitet",1,IF(B99="Kvartalsregnskab med balancedag den 30. november 2019 eller senere",(4/3),IF(B99="Årets resultat for kalenderåret 2019",(1/3))))))*ABS(B98)*B111*B112,""))</f>
        <v/>
      </c>
    </row>
    <row r="102" spans="1:2" x14ac:dyDescent="0.25">
      <c r="A102" s="25" t="s">
        <v>63</v>
      </c>
      <c r="B102" s="14" t="str">
        <f>IF(ISNUMBER(B101),B101/B91,"")</f>
        <v/>
      </c>
    </row>
    <row r="103" spans="1:2" x14ac:dyDescent="0.25">
      <c r="A103" s="25" t="s">
        <v>122</v>
      </c>
      <c r="B103" s="18"/>
    </row>
    <row r="104" spans="1:2" x14ac:dyDescent="0.25">
      <c r="A104" s="25" t="s">
        <v>114</v>
      </c>
      <c r="B104" s="18"/>
    </row>
    <row r="105" spans="1:2" x14ac:dyDescent="0.25">
      <c r="A105" s="106"/>
      <c r="B105" s="24"/>
    </row>
    <row r="106" spans="1:2" ht="45" x14ac:dyDescent="0.25">
      <c r="A106" s="107" t="s">
        <v>127</v>
      </c>
      <c r="B106" s="24"/>
    </row>
    <row r="107" spans="1:2" hidden="1" x14ac:dyDescent="0.25">
      <c r="A107" s="25" t="s">
        <v>64</v>
      </c>
      <c r="B107" s="81" t="s">
        <v>7</v>
      </c>
    </row>
    <row r="108" spans="1:2" hidden="1" x14ac:dyDescent="0.25">
      <c r="A108" s="106"/>
      <c r="B108" s="24"/>
    </row>
    <row r="109" spans="1:2" hidden="1" x14ac:dyDescent="0.25">
      <c r="A109" s="108" t="s">
        <v>46</v>
      </c>
      <c r="B109" s="19" t="e">
        <f>IF(OR(B12="",B20=""),"",(IF(OR(B14&lt;&gt;"Institution stiftet efter 1. dec. 2019",B21=""),B20,B21)-B12)/IF(OR(B14&lt;&gt;"Institution stiftet efter 1. dec. 2019",B21=""),B20,B21))</f>
        <v>#VALUE!</v>
      </c>
    </row>
    <row r="110" spans="1:2" hidden="1" x14ac:dyDescent="0.25">
      <c r="A110" s="108" t="s">
        <v>47</v>
      </c>
      <c r="B110" s="20" t="e">
        <f>IF(B109="","",IF(OR($B$9="Ikke forbud",AND($B$9="Hele kompensationsperioden",$B$12&gt;0),$B$9="Dele af kompensationsperioden"),IF(AND(B109&gt;=0.8,B109&lt;=1),2,IF(AND(B109&gt;=0.6,B109&lt;8),3,IF(AND(B109&gt;=0.35,B109&lt;0.6),4,IF(B109&lt;0.35,"Omsætningsnedgangen opfylder ikke kravet om nedgang på minimum 35 pct.")))),IF(AND($B$9="Hele kompensationsperioden",$B$12=0),1)))</f>
        <v>#VALUE!</v>
      </c>
    </row>
    <row r="111" spans="1:2" hidden="1" x14ac:dyDescent="0.25">
      <c r="A111" s="108" t="s">
        <v>48</v>
      </c>
      <c r="B111" s="19" t="e">
        <f>IF(B110="","",IF(B110=1,1,IF(B110=2,0.8,IF(B110=3,0.5,IF(B110=4,0.25,IF(B110="Omsætningsnedgangen opfylder ikke kravet om nedgang på minimum 35 pct.",0))))))</f>
        <v>#VALUE!</v>
      </c>
    </row>
    <row r="112" spans="1:2" hidden="1" x14ac:dyDescent="0.25">
      <c r="A112" s="108" t="s">
        <v>49</v>
      </c>
      <c r="B112" s="19" t="e">
        <f>IF(B111="","",B20/B19)</f>
        <v>#VALUE!</v>
      </c>
    </row>
    <row r="113" spans="1:2" x14ac:dyDescent="0.25">
      <c r="A113" s="95"/>
      <c r="B113" s="9"/>
    </row>
    <row r="114" spans="1:2" x14ac:dyDescent="0.25">
      <c r="A114" s="17" t="s">
        <v>50</v>
      </c>
    </row>
    <row r="115" spans="1:2" x14ac:dyDescent="0.25">
      <c r="A115" s="17" t="s">
        <v>123</v>
      </c>
    </row>
    <row r="116" spans="1:2" x14ac:dyDescent="0.25">
      <c r="A116" s="17"/>
    </row>
    <row r="117" spans="1:2" x14ac:dyDescent="0.25">
      <c r="A117" s="109" t="s">
        <v>124</v>
      </c>
      <c r="B117" s="74" t="s">
        <v>126</v>
      </c>
    </row>
    <row r="118" spans="1:2" x14ac:dyDescent="0.25">
      <c r="A118" s="110" t="s">
        <v>51</v>
      </c>
      <c r="B118" s="22">
        <f>IF(OR(ISTEXT(B91),B117="Indtast beløb"),0,IF(B117*0.8&gt;16000,16000,B117*0.8))</f>
        <v>0</v>
      </c>
    </row>
    <row r="119" spans="1:2" x14ac:dyDescent="0.25">
      <c r="A119" s="17"/>
    </row>
    <row r="120" spans="1:2" x14ac:dyDescent="0.25">
      <c r="A120" s="101" t="s">
        <v>62</v>
      </c>
      <c r="B120" s="23">
        <f>MAX(IF(ISNUMBER(B91),IF(B91-IF(ISNUMBER(B101),B101,0)&gt;0,IF(B101="",B91+B118,IF(B102&lt;0.5,B91+B118-B101,IF(B107="Nej",B91+B118-B101,IF(AND(B102&gt;0.5,B107="Ja"),B91*0.5+B118)))),0),0),0)</f>
        <v>0</v>
      </c>
    </row>
  </sheetData>
  <sheetProtection algorithmName="SHA-512" hashValue="H3QVyAFm93MAk83xinxf1n78PIprr/v++TxQr4CN4nGGIbGvhTra6akxX0IELhYJiw5sjUPDJGaFLyZmFc8bGw==" saltValue="qEGnXxAVsL9ZgVq/RGWPgA==" spinCount="100000" sheet="1" formatColumns="0"/>
  <conditionalFormatting sqref="B18">
    <cfRule type="expression" dxfId="99" priority="61">
      <formula>B14="Nystartet institution"</formula>
    </cfRule>
  </conditionalFormatting>
  <conditionalFormatting sqref="B17">
    <cfRule type="expression" dxfId="98" priority="60">
      <formula>B14="Nystartet institution"</formula>
    </cfRule>
  </conditionalFormatting>
  <conditionalFormatting sqref="A17">
    <cfRule type="expression" dxfId="97" priority="53">
      <formula>B14="Nystartet institution"</formula>
    </cfRule>
  </conditionalFormatting>
  <conditionalFormatting sqref="B39">
    <cfRule type="expression" dxfId="96" priority="95">
      <formula>B16="Nystartet institution"</formula>
    </cfRule>
  </conditionalFormatting>
  <conditionalFormatting sqref="A40">
    <cfRule type="expression" dxfId="95" priority="97">
      <formula>B16="Nystartet institution"</formula>
    </cfRule>
  </conditionalFormatting>
  <conditionalFormatting sqref="B48:B49">
    <cfRule type="expression" dxfId="94" priority="99">
      <formula>B17="Nystartet institution"</formula>
    </cfRule>
  </conditionalFormatting>
  <conditionalFormatting sqref="A48:A49">
    <cfRule type="expression" dxfId="93" priority="101">
      <formula>B17="Nystartet institution"</formula>
    </cfRule>
  </conditionalFormatting>
  <conditionalFormatting sqref="B46:B47">
    <cfRule type="expression" dxfId="92" priority="103">
      <formula>B18="Nystartet institution"</formula>
    </cfRule>
  </conditionalFormatting>
  <conditionalFormatting sqref="A46:A47">
    <cfRule type="expression" dxfId="91" priority="105">
      <formula>B18="Nystartet institution"</formula>
    </cfRule>
  </conditionalFormatting>
  <conditionalFormatting sqref="B44:B45">
    <cfRule type="expression" dxfId="90" priority="107">
      <formula>B18="Nystartet institution"</formula>
    </cfRule>
  </conditionalFormatting>
  <conditionalFormatting sqref="A44:A45">
    <cfRule type="expression" dxfId="89" priority="109">
      <formula>B18="Nystartet institution"</formula>
    </cfRule>
  </conditionalFormatting>
  <conditionalFormatting sqref="B84">
    <cfRule type="expression" dxfId="88" priority="45">
      <formula>B54="Nystartet institution"</formula>
    </cfRule>
  </conditionalFormatting>
  <conditionalFormatting sqref="A84">
    <cfRule type="expression" dxfId="87" priority="46">
      <formula>B54="Nystartet institution"</formula>
    </cfRule>
  </conditionalFormatting>
  <conditionalFormatting sqref="B89">
    <cfRule type="expression" dxfId="86" priority="47">
      <formula>#REF!="Nystartet institution"</formula>
    </cfRule>
  </conditionalFormatting>
  <conditionalFormatting sqref="A89">
    <cfRule type="expression" dxfId="85" priority="48">
      <formula>#REF!="Nystartet institution"</formula>
    </cfRule>
  </conditionalFormatting>
  <conditionalFormatting sqref="B87:B88">
    <cfRule type="expression" dxfId="84" priority="49">
      <formula>B54="Nystartet institution"</formula>
    </cfRule>
  </conditionalFormatting>
  <conditionalFormatting sqref="A87:A88">
    <cfRule type="expression" dxfId="83" priority="50">
      <formula>B54="Nystartet institution"</formula>
    </cfRule>
  </conditionalFormatting>
  <conditionalFormatting sqref="B85:B86">
    <cfRule type="expression" dxfId="82" priority="51">
      <formula>B54="Nystartet institution"</formula>
    </cfRule>
  </conditionalFormatting>
  <conditionalFormatting sqref="A85:A86">
    <cfRule type="expression" dxfId="81" priority="52">
      <formula>B54="Nystartet institution"</formula>
    </cfRule>
  </conditionalFormatting>
  <conditionalFormatting sqref="A17:B18">
    <cfRule type="expression" dxfId="80" priority="43">
      <formula>$B$14="Institution stiftet efter 1. dec. 2019"</formula>
    </cfRule>
  </conditionalFormatting>
  <conditionalFormatting sqref="A38:A39">
    <cfRule type="expression" dxfId="79" priority="111">
      <formula>B18="Nystartet institution"</formula>
    </cfRule>
  </conditionalFormatting>
  <conditionalFormatting sqref="A24:B24">
    <cfRule type="expression" dxfId="78" priority="35">
      <formula>$B$23="Institution stiftet efter 1. dec. 2019"</formula>
    </cfRule>
  </conditionalFormatting>
  <conditionalFormatting sqref="A82:B82">
    <cfRule type="expression" dxfId="77" priority="44">
      <formula>ABS($B$81)&gt;0.1</formula>
    </cfRule>
  </conditionalFormatting>
  <conditionalFormatting sqref="A15:B16">
    <cfRule type="expression" dxfId="76" priority="32">
      <formula>$B$14="Anden referenceperiode (kun ved særlige omstændigheder)"</formula>
    </cfRule>
  </conditionalFormatting>
  <conditionalFormatting sqref="A96:B96">
    <cfRule type="expression" dxfId="75" priority="31">
      <formula>$B$95="Ja"</formula>
    </cfRule>
    <cfRule type="expression" dxfId="74" priority="33">
      <formula>$B$95="Ja"</formula>
    </cfRule>
  </conditionalFormatting>
  <conditionalFormatting sqref="A97:B97">
    <cfRule type="expression" dxfId="73" priority="30">
      <formula>$B$96="Nej"</formula>
    </cfRule>
  </conditionalFormatting>
  <conditionalFormatting sqref="A98:B99">
    <cfRule type="expression" dxfId="72" priority="26">
      <formula>$B$97="Nej"</formula>
    </cfRule>
  </conditionalFormatting>
  <conditionalFormatting sqref="A109">
    <cfRule type="expression" dxfId="71" priority="23">
      <formula>B86="Nystartet institution"</formula>
    </cfRule>
  </conditionalFormatting>
  <conditionalFormatting sqref="A112">
    <cfRule type="expression" dxfId="70" priority="24">
      <formula>B86="Nystartet institution"</formula>
    </cfRule>
  </conditionalFormatting>
  <conditionalFormatting sqref="A110:A111">
    <cfRule type="expression" dxfId="69" priority="25">
      <formula>B86="Nystartet institution"</formula>
    </cfRule>
  </conditionalFormatting>
  <conditionalFormatting sqref="A101:B101">
    <cfRule type="expression" dxfId="68" priority="22">
      <formula>AND($B$95="Ja",$B$96="Nej",$B$97="Nej",$B$98="")</formula>
    </cfRule>
  </conditionalFormatting>
  <conditionalFormatting sqref="B102">
    <cfRule type="expression" dxfId="67" priority="20">
      <formula>AND(ISNUMBER($B$102),$B$102&gt;0.5)</formula>
    </cfRule>
  </conditionalFormatting>
  <conditionalFormatting sqref="A107:B107">
    <cfRule type="expression" dxfId="66" priority="18">
      <formula>AND(ISNUMBER($B$102),$B$102&gt;0.5)</formula>
    </cfRule>
  </conditionalFormatting>
  <conditionalFormatting sqref="A26:A28">
    <cfRule type="expression" dxfId="65" priority="16">
      <formula>B16="Nystartet institution"</formula>
    </cfRule>
  </conditionalFormatting>
  <conditionalFormatting sqref="A37">
    <cfRule type="expression" dxfId="64" priority="127">
      <formula>B21="Nystartet institution"</formula>
    </cfRule>
  </conditionalFormatting>
  <conditionalFormatting sqref="A103:B104">
    <cfRule type="expression" dxfId="63" priority="5">
      <formula>AND(ISNUMBER($B$102),$B$102&gt;0.5)</formula>
    </cfRule>
  </conditionalFormatting>
  <conditionalFormatting sqref="A50:B60 A62:B66 A68:B77 A80:B80 A83:B83">
    <cfRule type="expression" dxfId="62" priority="4">
      <formula>$B$9="Dele af kompensationsperioden"</formula>
    </cfRule>
  </conditionalFormatting>
  <conditionalFormatting sqref="A41:B41">
    <cfRule type="expression" dxfId="61" priority="3">
      <formula>ABS($B$40)&gt;0.1</formula>
    </cfRule>
  </conditionalFormatting>
  <conditionalFormatting sqref="B37">
    <cfRule type="expression" dxfId="60" priority="2">
      <formula>$B$37="Ansøger skal indsende en udspecificeret liste over de øvrige omkostninger."</formula>
    </cfRule>
  </conditionalFormatting>
  <conditionalFormatting sqref="C14">
    <cfRule type="expression" dxfId="59" priority="1">
      <formula>$B$14="Anden referenceperiode (kun ved særlige omstændigheder)"</formula>
    </cfRule>
  </conditionalFormatting>
  <dataValidations count="12">
    <dataValidation type="list" showInputMessage="1" showErrorMessage="1" errorTitle="Ugyldig periode" error="Der skal angives en af de to perioder eller angives &quot;Nystartet virksomhed/institution&quot;." sqref="B14">
      <formula1>Referenceperiode</formula1>
    </dataValidation>
    <dataValidation type="list" showInputMessage="1" showErrorMessage="1" errorTitle="Ugyldig dato" error="Der skal angives en dato mellem 8. december 2019 og 9. marts 2020." sqref="B17:B18">
      <formula1>NystartedeVirksomheder</formula1>
    </dataValidation>
    <dataValidation type="list" showInputMessage="1" showErrorMessage="1" errorTitle="Ugyldig dato" error="Der er indtastet en ugyldig dato.  Den anden opgørelsesperiode skal være på 4 måneder og starte den 1. april 2019 eller senere og slutte senest den 9. marts 2020." sqref="B15:B16">
      <formula1>AndenReferenceperiode</formula1>
    </dataValidation>
    <dataValidation type="list" showInputMessage="1" showErrorMessage="1" sqref="B9">
      <formula1>Forbudsart</formula1>
    </dataValidation>
    <dataValidation type="list" showInputMessage="1" showErrorMessage="1" sqref="B23">
      <formula1>ReferenceperiodeFasteOmk</formula1>
    </dataValidation>
    <dataValidation type="list" showInputMessage="1" showErrorMessage="1" errorTitle="Ugyldig dato" error="Der skal indtastes en dato inden for den referenceperiode, der er angivet for realiseret omsætning for hele kompensationsperiodenen, dog skal datoen som minimum være mellem 1. april 2019 og 9. marts 2020." sqref="B57:B58">
      <formula1>AndenReferenceperiode</formula1>
    </dataValidation>
    <dataValidation type="list" showInputMessage="1" showErrorMessage="1" errorTitle="Ugyldig dato" error="Der skal vælges en dato mellem 1. december 2019 og 9. marts 2020." sqref="B24">
      <formula1>NystartedeVirksomheder</formula1>
    </dataValidation>
    <dataValidation type="list" showInputMessage="1" showErrorMessage="1" errorTitle="Ugyldig dato" error="Der skal vælges en dato mellem 1. april 2019 og 9. marts 2020, dog inden for samme referenceperiode angivet for hele perioden." sqref="B64:B65">
      <formula1>AndenReferenceperiode</formula1>
    </dataValidation>
    <dataValidation type="list" showInputMessage="1" showErrorMessage="1" errorTitle="Ugyldig dato" error="Der skal indtastes en dato mellem 9. marts 2020 og 8. juli 2020." sqref="B51:B52">
      <formula1>Kompensationsperiode</formula1>
    </dataValidation>
    <dataValidation type="list" showInputMessage="1" showErrorMessage="1" errorTitle="Ugyldig indtastning" error="Der skal vælges mellem Ja/Nej." sqref="B95:B97">
      <formula1>NegativtResultat</formula1>
    </dataValidation>
    <dataValidation type="list" showInputMessage="1" showErrorMessage="1" sqref="B107">
      <formula1>FastholdeUdbetaling</formula1>
    </dataValidation>
    <dataValidation type="list" showInputMessage="1" showErrorMessage="1" errorTitle="Ugyldig periode" error="Der skal oplyses en af de fire periode angivet i rullemenuen." sqref="B99">
      <formula1>OpgørelseAfSenesteResultat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5"/>
  <sheetViews>
    <sheetView workbookViewId="0"/>
  </sheetViews>
  <sheetFormatPr defaultRowHeight="15" x14ac:dyDescent="0.25"/>
  <cols>
    <col min="1" max="1" width="94.28515625" customWidth="1"/>
    <col min="2" max="2" width="51.28515625" bestFit="1" customWidth="1"/>
  </cols>
  <sheetData>
    <row r="1" spans="1:2" x14ac:dyDescent="0.25">
      <c r="A1" s="92" t="s">
        <v>131</v>
      </c>
      <c r="B1" s="2"/>
    </row>
    <row r="2" spans="1:2" ht="30" x14ac:dyDescent="0.25">
      <c r="A2" s="93" t="s">
        <v>129</v>
      </c>
      <c r="B2" s="7"/>
    </row>
    <row r="3" spans="1:2" x14ac:dyDescent="0.25">
      <c r="A3" s="93"/>
      <c r="B3" s="7"/>
    </row>
    <row r="4" spans="1:2" x14ac:dyDescent="0.25">
      <c r="A4" s="95" t="s">
        <v>53</v>
      </c>
      <c r="B4" s="40"/>
    </row>
    <row r="5" spans="1:2" x14ac:dyDescent="0.25">
      <c r="A5" s="111" t="s">
        <v>76</v>
      </c>
      <c r="B5" s="82" t="s">
        <v>126</v>
      </c>
    </row>
    <row r="6" spans="1:2" x14ac:dyDescent="0.25">
      <c r="A6" s="111" t="s">
        <v>77</v>
      </c>
      <c r="B6" s="83" t="s">
        <v>126</v>
      </c>
    </row>
    <row r="7" spans="1:2" x14ac:dyDescent="0.25">
      <c r="A7" s="112" t="s">
        <v>72</v>
      </c>
      <c r="B7" s="76" t="s">
        <v>126</v>
      </c>
    </row>
    <row r="8" spans="1:2" x14ac:dyDescent="0.25">
      <c r="A8" s="112"/>
      <c r="B8" s="29"/>
    </row>
    <row r="9" spans="1:2" ht="30" x14ac:dyDescent="0.25">
      <c r="A9" s="114" t="s">
        <v>78</v>
      </c>
      <c r="B9" s="118"/>
    </row>
    <row r="10" spans="1:2" x14ac:dyDescent="0.25">
      <c r="A10" s="113" t="str">
        <f>"Faktisk omsætning i alt i forbudskompensationsperioden "&amp;IF(Ansøgning!$B$51="Vælg/Indtast","",TEXT(Ansøgning!$B$51,"dd-mm-åååå")&amp;" til ")&amp;IF(Ansøgning!$B$52="Vælg/Indtast","",TEXT(Ansøgning!$B$52,"dd-mm-åååå"))</f>
        <v xml:space="preserve">Faktisk omsætning i alt i forbudskompensationsperioden </v>
      </c>
      <c r="B10" s="119" t="s">
        <v>126</v>
      </c>
    </row>
    <row r="11" spans="1:2" x14ac:dyDescent="0.25">
      <c r="A11" s="113" t="str">
        <f>"Faktisk kommerciel omsætning i alt i forbudskompensationsperioden "&amp;IF(Ansøgning!B51="Vælg/Indtast","",TEXT(Ansøgning!$B$51,"dd-mm-åååå")&amp;" til ")&amp;IF(Ansøgning!B52="Vælg/Indtast","",TEXT(Ansøgning!$B$52,"dd-mm-åååå"))</f>
        <v xml:space="preserve">Faktisk kommerciel omsætning i alt i forbudskompensationsperioden </v>
      </c>
      <c r="B11" s="119" t="s">
        <v>126</v>
      </c>
    </row>
    <row r="12" spans="1:2" x14ac:dyDescent="0.25">
      <c r="A12" s="113" t="str">
        <f>"Faktiske faste omkostninger i forbudskompensationsperioden "&amp;IF(Ansøgning!B51="Vælg/Indtast","",TEXT(Ansøgning!$B$51,"dd-mm-åååå")&amp;" til ")&amp;IF(Ansøgning!B52="Vælg/Indtast","",TEXT(Ansøgning!$B$52,"dd-mm-åååå"))</f>
        <v xml:space="preserve">Faktiske faste omkostninger i forbudskompensationsperioden </v>
      </c>
      <c r="B12" s="119" t="s">
        <v>126</v>
      </c>
    </row>
    <row r="13" spans="1:2" x14ac:dyDescent="0.25">
      <c r="A13" s="112"/>
      <c r="B13" s="29"/>
    </row>
    <row r="14" spans="1:2" x14ac:dyDescent="0.25">
      <c r="A14" s="113" t="s">
        <v>81</v>
      </c>
      <c r="B14" s="41">
        <f>IF(Ansøgning!B91="","",Ansøgning!B91)</f>
        <v>0</v>
      </c>
    </row>
    <row r="15" spans="1:2" x14ac:dyDescent="0.25">
      <c r="A15" s="101" t="s">
        <v>80</v>
      </c>
      <c r="B15" s="23" t="str">
        <f>IFERROR(IF(B88="","",B88),"")</f>
        <v/>
      </c>
    </row>
    <row r="16" spans="1:2" x14ac:dyDescent="0.25">
      <c r="A16" s="112"/>
      <c r="B16" s="6"/>
    </row>
    <row r="17" spans="1:2" x14ac:dyDescent="0.25">
      <c r="A17" s="113" t="s">
        <v>84</v>
      </c>
      <c r="B17" s="71" t="str">
        <f>IF(ISNUMBER(Ansøgning!B98)="","",Ansøgning!B98)</f>
        <v>Indtast beløb</v>
      </c>
    </row>
    <row r="18" spans="1:2" x14ac:dyDescent="0.25">
      <c r="A18" s="113" t="s">
        <v>86</v>
      </c>
      <c r="B18" s="79" t="s">
        <v>126</v>
      </c>
    </row>
    <row r="19" spans="1:2" x14ac:dyDescent="0.25">
      <c r="A19" s="25" t="s">
        <v>85</v>
      </c>
      <c r="B19" s="36" t="str">
        <f>IF(OR(B18="",B18="Indtast beløb"),"",IF(B18&lt;0,"Ja","Nej"))</f>
        <v/>
      </c>
    </row>
    <row r="20" spans="1:2" x14ac:dyDescent="0.25">
      <c r="A20" s="25" t="s">
        <v>43</v>
      </c>
      <c r="B20" s="33" t="s">
        <v>7</v>
      </c>
    </row>
    <row r="21" spans="1:2" x14ac:dyDescent="0.25">
      <c r="A21" s="25" t="s">
        <v>61</v>
      </c>
      <c r="B21" s="33" t="s">
        <v>7</v>
      </c>
    </row>
    <row r="22" spans="1:2" x14ac:dyDescent="0.25">
      <c r="A22" s="112"/>
      <c r="B22" s="61"/>
    </row>
    <row r="23" spans="1:2" x14ac:dyDescent="0.25">
      <c r="A23" s="113" t="s">
        <v>23</v>
      </c>
      <c r="B23" s="39">
        <f>IF(AND(B19="Ja",B20="Nej",B21="Nej",ISNUMBER(B18)),ABS(B18)*B106*B107,0)</f>
        <v>0</v>
      </c>
    </row>
    <row r="24" spans="1:2" x14ac:dyDescent="0.25">
      <c r="A24" s="113" t="s">
        <v>79</v>
      </c>
      <c r="B24" s="63" t="str">
        <f>IFERROR(IF(B23="","",B23/B15),"")</f>
        <v/>
      </c>
    </row>
    <row r="25" spans="1:2" x14ac:dyDescent="0.25">
      <c r="A25" s="112"/>
      <c r="B25" s="62"/>
    </row>
    <row r="26" spans="1:2" ht="45" x14ac:dyDescent="0.25">
      <c r="A26" s="107" t="s">
        <v>127</v>
      </c>
      <c r="B26" s="24"/>
    </row>
    <row r="27" spans="1:2" hidden="1" x14ac:dyDescent="0.25">
      <c r="A27" s="106" t="s">
        <v>64</v>
      </c>
      <c r="B27" s="84" t="s">
        <v>7</v>
      </c>
    </row>
    <row r="28" spans="1:2" x14ac:dyDescent="0.25">
      <c r="A28" s="112"/>
      <c r="B28" s="62"/>
    </row>
    <row r="29" spans="1:2" x14ac:dyDescent="0.25">
      <c r="A29" s="101" t="s">
        <v>82</v>
      </c>
      <c r="B29" s="23">
        <f>B115</f>
        <v>0</v>
      </c>
    </row>
    <row r="30" spans="1:2" x14ac:dyDescent="0.25">
      <c r="A30" s="110" t="s">
        <v>83</v>
      </c>
      <c r="B30" s="43">
        <f>IF(ISNUMBER(B29),B29-Ansøgning!B120,"")</f>
        <v>0</v>
      </c>
    </row>
    <row r="31" spans="1:2" x14ac:dyDescent="0.25">
      <c r="A31" s="111"/>
      <c r="B31" s="6"/>
    </row>
    <row r="32" spans="1:2" hidden="1" x14ac:dyDescent="0.25">
      <c r="A32" s="102" t="s">
        <v>11</v>
      </c>
      <c r="B32" s="64" t="str">
        <f>IF(Ansøgning!B4="","",Ansøgning!B4)</f>
        <v>Indtast navn</v>
      </c>
    </row>
    <row r="33" spans="1:2" hidden="1" x14ac:dyDescent="0.25">
      <c r="A33" s="26" t="s">
        <v>0</v>
      </c>
      <c r="B33" s="64" t="str">
        <f>IF(Ansøgning!B5="","",Ansøgning!B5)</f>
        <v>Indtast CVR-nr.</v>
      </c>
    </row>
    <row r="34" spans="1:2" hidden="1" x14ac:dyDescent="0.25">
      <c r="A34" s="26" t="s">
        <v>2</v>
      </c>
      <c r="B34" s="35">
        <v>43899</v>
      </c>
    </row>
    <row r="35" spans="1:2" hidden="1" x14ac:dyDescent="0.25">
      <c r="A35" s="26" t="s">
        <v>3</v>
      </c>
      <c r="B35" s="35">
        <v>44020</v>
      </c>
    </row>
    <row r="36" spans="1:2" hidden="1" x14ac:dyDescent="0.25">
      <c r="A36" s="95"/>
      <c r="B36" s="65"/>
    </row>
    <row r="37" spans="1:2" hidden="1" x14ac:dyDescent="0.25">
      <c r="A37" s="26" t="s">
        <v>35</v>
      </c>
      <c r="B37" s="64" t="str">
        <f>IF(Ansøgning!B9="","",Ansøgning!B9)</f>
        <v>Vælg/Indtast</v>
      </c>
    </row>
    <row r="38" spans="1:2" hidden="1" x14ac:dyDescent="0.25">
      <c r="A38" s="95"/>
      <c r="B38" s="65"/>
    </row>
    <row r="39" spans="1:2" hidden="1" x14ac:dyDescent="0.25">
      <c r="A39" s="95" t="s">
        <v>53</v>
      </c>
      <c r="B39" s="65"/>
    </row>
    <row r="40" spans="1:2" hidden="1" x14ac:dyDescent="0.25">
      <c r="A40" s="100" t="s">
        <v>52</v>
      </c>
      <c r="B40" s="71" t="str">
        <f>IF(Ansøgning!B12="","",Ansøgning!B12)</f>
        <v>Indtast beløb</v>
      </c>
    </row>
    <row r="41" spans="1:2" hidden="1" x14ac:dyDescent="0.25">
      <c r="A41" s="25" t="s">
        <v>70</v>
      </c>
      <c r="B41" s="85" t="str">
        <f>IF(B6="","",B6)</f>
        <v>Indtast beløb</v>
      </c>
    </row>
    <row r="42" spans="1:2" hidden="1" x14ac:dyDescent="0.25">
      <c r="A42" s="17"/>
      <c r="B42" s="65"/>
    </row>
    <row r="43" spans="1:2" hidden="1" x14ac:dyDescent="0.25">
      <c r="A43" s="26" t="s">
        <v>71</v>
      </c>
      <c r="B43" s="66" t="b">
        <f>IF(OR(Ansøgning!B14="01-04-2019 til 31-07-2019",Ansøgning!B14="01-11-2019 til 29-02-2020"),Ansøgning!B14,IF(AND(Ansøgning!B14="Anden referenceperiode (kun ved særlige omstændigheder)",Ansøgning!B15&lt;&gt;"",Ansøgning!B16&lt;&gt;""),TEXT(Ansøgning!B15,"dd-mm-åååå")&amp;" til "&amp;TEXT(Ansøgning!B16,"dd-mm-åååå"),IF(AND(Ansøgning!B14="Institution stiftet efter 1. dec. 2019",Ansøgning!B17&lt;&gt;"",Ansøgning!B18&lt;&gt;""),TEXT(Ansøgning!B17,"dd-mm-åååå")&amp;" til "&amp;TEXT(Ansøgning!B18,"dd-mm-åååå"))))</f>
        <v>0</v>
      </c>
    </row>
    <row r="44" spans="1:2" hidden="1" x14ac:dyDescent="0.25">
      <c r="A44" s="25" t="str">
        <f>"Realiseret omsætning i alt i perioden "&amp;B43</f>
        <v>Realiseret omsætning i alt i perioden FALSK</v>
      </c>
      <c r="B44" s="21" t="str">
        <f>IF(Ansøgning!B19="","",Ansøgning!B19)</f>
        <v>Indtast beløb</v>
      </c>
    </row>
    <row r="45" spans="1:2" hidden="1" x14ac:dyDescent="0.25">
      <c r="A45" s="25" t="str">
        <f>"Realiseret kommerciel omsætning i alt i perioden "&amp;B43</f>
        <v>Realiseret kommerciel omsætning i alt i perioden FALSK</v>
      </c>
      <c r="B45" s="21" t="str">
        <f>IF(Ansøgning!B20="","",Ansøgning!B20)</f>
        <v>Indtast beløb</v>
      </c>
    </row>
    <row r="46" spans="1:2" hidden="1" x14ac:dyDescent="0.25">
      <c r="A46" s="25" t="s">
        <v>68</v>
      </c>
      <c r="B46" s="21" t="str">
        <f>IF(ISNUMBER(Ansøgning!B21),Ansøgning!B21,"")</f>
        <v/>
      </c>
    </row>
    <row r="47" spans="1:2" hidden="1" x14ac:dyDescent="0.25">
      <c r="A47" s="17"/>
      <c r="B47" s="67"/>
    </row>
    <row r="48" spans="1:2" hidden="1" x14ac:dyDescent="0.25">
      <c r="A48" s="26" t="s">
        <v>55</v>
      </c>
      <c r="B48" s="36" t="b">
        <f>IF(Ansøgning!B23="01-11-2019 til 29-02-2020",Ansøgning!B23,IF(AND(Ansøgning!B23="Institution stiftet efter 1. dec. 2019",Ansøgning!B24&lt;&gt;"",Ansøgning!B25&lt;&gt;""),TEXT(Ansøgning!B24,"dd-mm-åååå")&amp;" til "&amp;TEXT(Ansøgning!B25,"dd-mm-åååå")))</f>
        <v>0</v>
      </c>
    </row>
    <row r="49" spans="1:2" hidden="1" x14ac:dyDescent="0.25">
      <c r="A49" s="25" t="str">
        <f>"Realiserede faste omkostninger i perioden "&amp;B48</f>
        <v>Realiserede faste omkostninger i perioden FALSK</v>
      </c>
      <c r="B49" s="21" t="str">
        <f>IF(Ansøgning!B38="","",Ansøgning!B38)</f>
        <v/>
      </c>
    </row>
    <row r="50" spans="1:2" hidden="1" x14ac:dyDescent="0.25">
      <c r="A50" s="25" t="s">
        <v>17</v>
      </c>
      <c r="B50" s="21" t="str">
        <f>IF(Ansøgning!B39="","",Ansøgning!B39)</f>
        <v>Indtast beløb</v>
      </c>
    </row>
    <row r="51" spans="1:2" hidden="1" x14ac:dyDescent="0.25">
      <c r="A51" s="25" t="s">
        <v>72</v>
      </c>
      <c r="B51" s="41" t="str">
        <f>IF(B7="","",B7)</f>
        <v>Indtast beløb</v>
      </c>
    </row>
    <row r="52" spans="1:2" hidden="1" x14ac:dyDescent="0.25">
      <c r="A52" s="100" t="s">
        <v>14</v>
      </c>
      <c r="B52" s="30" t="str">
        <f>IF(B48="01-11-2019 til 29-02-2020",IF(OR(B49="",B51=""),"",(B51-B49)/B49),"")</f>
        <v/>
      </c>
    </row>
    <row r="53" spans="1:2" hidden="1" x14ac:dyDescent="0.25">
      <c r="A53" s="25" t="s">
        <v>15</v>
      </c>
      <c r="B53" s="37"/>
    </row>
    <row r="54" spans="1:2" hidden="1" x14ac:dyDescent="0.25">
      <c r="A54" s="17"/>
      <c r="B54" s="38"/>
    </row>
    <row r="55" spans="1:2" hidden="1" x14ac:dyDescent="0.25">
      <c r="A55" s="26" t="s">
        <v>73</v>
      </c>
      <c r="B55" s="14" t="e">
        <f>IF(B41="","",(IF(Ansøgning!B14="Institution stiftet efter 1. dec. 2019",B46,B45)-IF(ISNUMBER(B71),B71,0)-B41-IF(ISNUMBER(B67),B67,0))/(IF(Ansøgning!B14="Institution stiftet efter 1. dec. 2019",B46,B45)-IF(ISNUMBER(B71),B71,0)))</f>
        <v>#VALUE!</v>
      </c>
    </row>
    <row r="56" spans="1:2" hidden="1" x14ac:dyDescent="0.25">
      <c r="A56" s="26" t="s">
        <v>56</v>
      </c>
      <c r="B56" s="15" t="e">
        <f>IF($B$55="","",IF(AND($B$37="Hele kompensationsperioden",$B$41=0),1,IF(AND($B$55&gt;=0.8,$B$55&lt;=1),2,IF(AND($B$55&gt;=0.6,$B$55&lt;8),3,IF(AND($B$55&gt;=0.35,$B$55&lt;0.6),4,IF($B$55&lt;0.35,"Omsætningsnedgangen opfylder ikke kravet om nedgang på minimum 35 pct."))))))</f>
        <v>#VALUE!</v>
      </c>
    </row>
    <row r="57" spans="1:2" hidden="1" x14ac:dyDescent="0.25">
      <c r="A57" s="26" t="s">
        <v>57</v>
      </c>
      <c r="B57" s="14" t="e">
        <f>IF(B56="","",IF(B56=1,1,IF(B56=2,0.8,IF(B56=3,0.5,IF(B56=4,0.25,IF(B56="Omsætningsnedgangen opfylder ikke kravet om nedgang på minimum 35 pct.",0))))))</f>
        <v>#VALUE!</v>
      </c>
    </row>
    <row r="58" spans="1:2" hidden="1" x14ac:dyDescent="0.25">
      <c r="A58" s="26" t="s">
        <v>66</v>
      </c>
      <c r="B58" s="14" t="e">
        <f>IF(B41="","",(B45-B71)/(B44-B70))</f>
        <v>#VALUE!</v>
      </c>
    </row>
    <row r="59" spans="1:2" hidden="1" x14ac:dyDescent="0.25">
      <c r="A59" s="96"/>
      <c r="B59" s="38"/>
    </row>
    <row r="60" spans="1:2" hidden="1" x14ac:dyDescent="0.25">
      <c r="A60" s="101" t="s">
        <v>39</v>
      </c>
      <c r="B60" s="16" t="e">
        <f>IF(B57="","",(B51-IF(ISNUMBER(B77),B77,0))*B58*B57)</f>
        <v>#VALUE!</v>
      </c>
    </row>
    <row r="61" spans="1:2" hidden="1" x14ac:dyDescent="0.25">
      <c r="A61" s="95"/>
      <c r="B61" s="38"/>
    </row>
    <row r="62" spans="1:2" ht="30" hidden="1" x14ac:dyDescent="0.25">
      <c r="A62" s="114" t="s">
        <v>78</v>
      </c>
      <c r="B62" s="25"/>
    </row>
    <row r="63" spans="1:2" hidden="1" x14ac:dyDescent="0.25">
      <c r="A63" s="25" t="s">
        <v>27</v>
      </c>
      <c r="B63" s="35" t="str">
        <f>IF(Ansøgning!B51="","",Ansøgning!B51)</f>
        <v>Vælg/Indtast</v>
      </c>
    </row>
    <row r="64" spans="1:2" hidden="1" x14ac:dyDescent="0.25">
      <c r="A64" s="25" t="s">
        <v>20</v>
      </c>
      <c r="B64" s="35" t="str">
        <f>IF(Ansøgning!B52="","",Ansøgning!B52)</f>
        <v>Vælg/Indtast</v>
      </c>
    </row>
    <row r="65" spans="1:2" hidden="1" x14ac:dyDescent="0.25">
      <c r="A65" s="25"/>
      <c r="B65" s="25"/>
    </row>
    <row r="66" spans="1:2" hidden="1" x14ac:dyDescent="0.25">
      <c r="A66" s="25" t="str">
        <f>"Forventet kommerciel omsætning i alt i forbudskompensationsperioden "&amp;IF(OR($B$63="",$B$64=""),"",TEXT($B$63,"dd-mm-åååå")&amp;" til "&amp;TEXT($B$64,"dd-mm-åååå"))</f>
        <v>Forventet kommerciel omsætning i alt i forbudskompensationsperioden Vælg/Indtast til Vælg/Indtast</v>
      </c>
      <c r="B66" s="21" t="str">
        <f>IF(Ansøgning!B54="","",Ansøgning!B54)</f>
        <v>Indtast beløb</v>
      </c>
    </row>
    <row r="67" spans="1:2" hidden="1" x14ac:dyDescent="0.25">
      <c r="A67" s="25" t="str">
        <f>"Faktisk kommerciel omsætning i alt i forbudskompensationsperioden "&amp;IF(OR($B$63="",$B$64=""),"",TEXT($B$63,"dd-mm-åååå")&amp;" til "&amp;TEXT($B$64,"dd-mm-åååå"))</f>
        <v>Faktisk kommerciel omsætning i alt i forbudskompensationsperioden Vælg/Indtast til Vælg/Indtast</v>
      </c>
      <c r="B67" s="21" t="str">
        <f>IF(B11="","",B11)</f>
        <v>Indtast beløb</v>
      </c>
    </row>
    <row r="68" spans="1:2" hidden="1" x14ac:dyDescent="0.25">
      <c r="A68" s="25"/>
      <c r="B68" s="25"/>
    </row>
    <row r="69" spans="1:2" hidden="1" x14ac:dyDescent="0.25">
      <c r="A69" s="26" t="s">
        <v>29</v>
      </c>
      <c r="B69" s="36" t="str">
        <f>IF(OR(Ansøgning!B57="",Ansøgning!B58=""),"",TEXT(Ansøgning!B57,"dd-mm-åååå")&amp;" til "&amp;TEXT(Ansøgning!B58,"dd-mm-åååå"))</f>
        <v>Vælg/Indtast til Vælg/Indtast</v>
      </c>
    </row>
    <row r="70" spans="1:2" hidden="1" x14ac:dyDescent="0.25">
      <c r="A70" s="25" t="str">
        <f>"Realiseret omsætning i alt i forbudsreferenceperioden "&amp;B69</f>
        <v>Realiseret omsætning i alt i forbudsreferenceperioden Vælg/Indtast til Vælg/Indtast</v>
      </c>
      <c r="B70" s="21" t="str">
        <f>IF(Ansøgning!B59="","",Ansøgning!B59)</f>
        <v>Indtast beløb</v>
      </c>
    </row>
    <row r="71" spans="1:2" hidden="1" x14ac:dyDescent="0.25">
      <c r="A71" s="25" t="str">
        <f>"Realiseret kommerciel omsætning i alt i forbudsreferenceperioden "&amp;B69</f>
        <v>Realiseret kommerciel omsætning i alt i forbudsreferenceperioden Vælg/Indtast til Vælg/Indtast</v>
      </c>
      <c r="B71" s="21" t="str">
        <f>IF(Ansøgning!B60="","",Ansøgning!B60)</f>
        <v>Indtast beløb</v>
      </c>
    </row>
    <row r="72" spans="1:2" hidden="1" x14ac:dyDescent="0.25">
      <c r="A72" s="25" t="s">
        <v>69</v>
      </c>
      <c r="B72" s="21" t="str">
        <f>IF(ISNUMBER(Ansøgning!B61),Ansøgning!B61,"")</f>
        <v/>
      </c>
    </row>
    <row r="73" spans="1:2" hidden="1" x14ac:dyDescent="0.25">
      <c r="A73" s="25"/>
      <c r="B73" s="25"/>
    </row>
    <row r="74" spans="1:2" hidden="1" x14ac:dyDescent="0.25">
      <c r="A74" s="26" t="s">
        <v>32</v>
      </c>
      <c r="B74" s="36" t="str">
        <f>IF(OR(Ansøgning!B64="",Ansøgning!B65=""),"",TEXT(Ansøgning!B64,"dd-mm-åååå")&amp;" til "&amp;TEXT(Ansøgning!B65,"dd-mm-åååå"))</f>
        <v>Vælg/Indtast til Vælg/Indtast</v>
      </c>
    </row>
    <row r="75" spans="1:2" hidden="1" x14ac:dyDescent="0.25">
      <c r="A75" s="25" t="str">
        <f>"Realiserede faste omkostninger i forbudsreferenceperioden "&amp;B74</f>
        <v>Realiserede faste omkostninger i forbudsreferenceperioden Vælg/Indtast til Vælg/Indtast</v>
      </c>
      <c r="B75" s="21" t="str">
        <f>IF(Ansøgning!B79="","",Ansøgning!B79)</f>
        <v/>
      </c>
    </row>
    <row r="76" spans="1:2" hidden="1" x14ac:dyDescent="0.25">
      <c r="A76" s="25" t="str">
        <f>"Forventede faste omkostninger i forbudskompensationsperioden "&amp;IF(OR(B63="",B64=""),"",TEXT(B63,"dd-mm-åååå")&amp;" til "&amp;TEXT(B64,"dd-mm-åååå"))</f>
        <v>Forventede faste omkostninger i forbudskompensationsperioden Vælg/Indtast til Vælg/Indtast</v>
      </c>
      <c r="B76" s="21" t="str">
        <f>IF(Ansøgning!B80="","",Ansøgning!B80)</f>
        <v>Indtast beløb</v>
      </c>
    </row>
    <row r="77" spans="1:2" hidden="1" x14ac:dyDescent="0.25">
      <c r="A77" s="25" t="str">
        <f>"Faktiske faste omkostninger i forbudskompensationsperioden "&amp;IF(OR(B63="",B64=""),"",TEXT(B63,"dd-mm-åååå")&amp;" til "&amp;TEXT(B64,"dd-mm-åååå"))</f>
        <v>Faktiske faste omkostninger i forbudskompensationsperioden Vælg/Indtast til Vælg/Indtast</v>
      </c>
      <c r="B77" s="21" t="str">
        <f>IF(B12="","",B12)</f>
        <v>Indtast beløb</v>
      </c>
    </row>
    <row r="78" spans="1:2" hidden="1" x14ac:dyDescent="0.25">
      <c r="A78" s="25" t="s">
        <v>14</v>
      </c>
      <c r="B78" s="14" t="str">
        <f>IF(OR(B75="",B77=""),"",(B77-B75)/B75)</f>
        <v/>
      </c>
    </row>
    <row r="79" spans="1:2" hidden="1" x14ac:dyDescent="0.25">
      <c r="A79" s="25" t="s">
        <v>15</v>
      </c>
      <c r="B79" s="37"/>
    </row>
    <row r="80" spans="1:2" hidden="1" x14ac:dyDescent="0.25">
      <c r="A80" s="25"/>
      <c r="B80" s="25"/>
    </row>
    <row r="81" spans="1:2" hidden="1" x14ac:dyDescent="0.25">
      <c r="A81" s="26" t="s">
        <v>21</v>
      </c>
      <c r="B81" s="14" t="str">
        <f>IFERROR(IF(OR(B67="",B71=""),"",(B72-B67)/B72),"")</f>
        <v/>
      </c>
    </row>
    <row r="82" spans="1:2" hidden="1" x14ac:dyDescent="0.25">
      <c r="A82" s="26" t="s">
        <v>58</v>
      </c>
      <c r="B82" s="15" t="str">
        <f>IF(B81="","",IF(B67&gt;0,IF(AND(B81&gt;=0.8,B81&lt;=1),2,IF(AND(B81&gt;=0.6,B81&lt;0.8),3,IF(AND(B81&gt;=0.35,B81&lt;0.6),4,IF(B81&lt;0.35,"Omsætningsnedgangen opfylder ikke kravet om nedgang på minimum 35 pct.")))),IF(B67=0,1,"")))</f>
        <v/>
      </c>
    </row>
    <row r="83" spans="1:2" hidden="1" x14ac:dyDescent="0.25">
      <c r="A83" s="26" t="s">
        <v>59</v>
      </c>
      <c r="B83" s="14" t="str">
        <f>IF(B82="","",IF(B82=1,1,IF(B82=2,0.8,IF(B82=3,0.5,IF(B82=4,0.25,IF(B82="Omsætningsnedgangen opfylder ikke kravet om nedgang på minimum 35 pct.",0))))))</f>
        <v/>
      </c>
    </row>
    <row r="84" spans="1:2" hidden="1" x14ac:dyDescent="0.25">
      <c r="A84" s="26" t="s">
        <v>60</v>
      </c>
      <c r="B84" s="14" t="str">
        <f>IFERROR(IF(B71="","",B71/B70),"")</f>
        <v/>
      </c>
    </row>
    <row r="85" spans="1:2" hidden="1" x14ac:dyDescent="0.25">
      <c r="A85" s="96"/>
      <c r="B85" s="38"/>
    </row>
    <row r="86" spans="1:2" hidden="1" x14ac:dyDescent="0.25">
      <c r="A86" s="101" t="s">
        <v>40</v>
      </c>
      <c r="B86" s="16">
        <f>IF(B83="",0,B77*B84*B83)</f>
        <v>0</v>
      </c>
    </row>
    <row r="87" spans="1:2" hidden="1" x14ac:dyDescent="0.25">
      <c r="A87" s="17"/>
      <c r="B87" s="17"/>
    </row>
    <row r="88" spans="1:2" hidden="1" x14ac:dyDescent="0.25">
      <c r="A88" s="115" t="s">
        <v>24</v>
      </c>
      <c r="B88" s="31" t="e">
        <f>MAX(IF(B60="","",IF(B51*B45/B44&lt;16666,"De faste omkostningers andel af de kommercielle indtægters andel af de samlede indtægter opfylder ikke kravet om at udgøre minimum 16.666 kr. i kompensationsperioden. Der kan derfor ikke udbetales kompensation.",IF(IF(B82="Omsætningsnedgangen opfylder ikke kravet om nedgang på minimum 35 pct.",B7*107*106,B60+B86)&gt;110000000,110000000,IF(IF(B82="Omsætningsnedgangen opfylder ikke kravet om nedgang på minimum 35 pct.",B7*B107*B106,B60+B86)&gt;IF(OR(Ansøgning!B14&lt;&gt;"Institution stiftet efter 1. dec. 2019",B46=""),B45,B46)-B41,IF(OR(Ansøgning!B14&lt;&gt;"Institution stiftet efter 1. dec. 2019",B46=""),B45,B46)-B41,IF(B82="Omsætningsnedgangen opfylder ikke kravet om nedgang på minimum 35 pct.",B7*B107*B106,B60+B86))))),0)</f>
        <v>#VALUE!</v>
      </c>
    </row>
    <row r="89" spans="1:2" hidden="1" x14ac:dyDescent="0.25">
      <c r="A89" s="17"/>
      <c r="B89" s="17"/>
    </row>
    <row r="90" spans="1:2" hidden="1" x14ac:dyDescent="0.25">
      <c r="A90" s="17" t="s">
        <v>45</v>
      </c>
      <c r="B90" s="17"/>
    </row>
    <row r="91" spans="1:2" hidden="1" x14ac:dyDescent="0.25">
      <c r="A91" s="17"/>
      <c r="B91" s="17"/>
    </row>
    <row r="92" spans="1:2" hidden="1" x14ac:dyDescent="0.25">
      <c r="A92" s="25" t="s">
        <v>42</v>
      </c>
      <c r="B92" s="36" t="str">
        <f>IF(B19="","",B19)</f>
        <v/>
      </c>
    </row>
    <row r="93" spans="1:2" hidden="1" x14ac:dyDescent="0.25">
      <c r="A93" s="25" t="s">
        <v>43</v>
      </c>
      <c r="B93" s="36" t="str">
        <f t="shared" ref="B93:B94" si="0">IF(B20="","",B20)</f>
        <v>Vælg/Indtast</v>
      </c>
    </row>
    <row r="94" spans="1:2" hidden="1" x14ac:dyDescent="0.25">
      <c r="A94" s="25" t="s">
        <v>61</v>
      </c>
      <c r="B94" s="36" t="str">
        <f t="shared" si="0"/>
        <v>Vælg/Indtast</v>
      </c>
    </row>
    <row r="95" spans="1:2" hidden="1" x14ac:dyDescent="0.25">
      <c r="A95" s="25" t="s">
        <v>44</v>
      </c>
      <c r="B95" s="21" t="str">
        <f>IF(B18="","",B18)</f>
        <v>Indtast beløb</v>
      </c>
    </row>
    <row r="96" spans="1:2" hidden="1" x14ac:dyDescent="0.25">
      <c r="A96" s="17"/>
      <c r="B96" s="17"/>
    </row>
    <row r="97" spans="1:2" hidden="1" x14ac:dyDescent="0.25">
      <c r="A97" s="25" t="s">
        <v>23</v>
      </c>
      <c r="B97" s="21">
        <f>IF(B95&lt;0,ABS(B95)*B106*B107,0)</f>
        <v>0</v>
      </c>
    </row>
    <row r="98" spans="1:2" hidden="1" x14ac:dyDescent="0.25">
      <c r="A98" s="25" t="s">
        <v>63</v>
      </c>
      <c r="B98" s="14" t="e">
        <f>IF(B97="","",B97/B88)</f>
        <v>#VALUE!</v>
      </c>
    </row>
    <row r="99" spans="1:2" hidden="1" x14ac:dyDescent="0.25">
      <c r="A99" s="106" t="s">
        <v>115</v>
      </c>
      <c r="B99" s="68"/>
    </row>
    <row r="100" spans="1:2" hidden="1" x14ac:dyDescent="0.25">
      <c r="A100" s="106"/>
      <c r="B100" s="69"/>
    </row>
    <row r="101" spans="1:2" ht="45" hidden="1" x14ac:dyDescent="0.25">
      <c r="A101" s="107" t="s">
        <v>127</v>
      </c>
      <c r="B101" s="67"/>
    </row>
    <row r="102" spans="1:2" hidden="1" x14ac:dyDescent="0.25">
      <c r="A102" s="25" t="s">
        <v>64</v>
      </c>
      <c r="B102" s="72" t="str">
        <f>IF(B27="","",B27)</f>
        <v>Vælg/Indtast</v>
      </c>
    </row>
    <row r="103" spans="1:2" hidden="1" x14ac:dyDescent="0.25">
      <c r="A103" s="106"/>
      <c r="B103" s="69"/>
    </row>
    <row r="104" spans="1:2" hidden="1" x14ac:dyDescent="0.25">
      <c r="A104" s="108" t="s">
        <v>46</v>
      </c>
      <c r="B104" s="19" t="e">
        <f>IF(OR(B41="",B45=""),"",(IF(OR(Ansøgning!B14&lt;&gt;"Institution stiftet efter 1. dec. 2019",B46=""),B45,B46)-B41)/IF(OR(Ansøgning!B14&lt;&gt;"Institution stiftet efter 1. dec. 2019",B46=""),B45,B46))</f>
        <v>#VALUE!</v>
      </c>
    </row>
    <row r="105" spans="1:2" hidden="1" x14ac:dyDescent="0.25">
      <c r="A105" s="108" t="s">
        <v>47</v>
      </c>
      <c r="B105" s="20" t="e">
        <f>IF(B104="","",IF(OR($B$37="Ikke forbud",AND($B$37="Hele kompensationsperioden",$B$41&gt;0),$B$37="Dele af kompensationsperioden"),IF(AND(B104&gt;=0.8,B104&lt;=1),2,IF(AND(B104&gt;=0.6,B104&lt;8),3,IF(AND(B104&gt;=0.35,B104&lt;0.6),4,IF(B104&lt;0.35,"Omsætningsnedgangen opfylder ikke kravet om nedgang på minimum 35 pct.")))),IF(AND($B$37="Hele kompensationsperioden",$B$41=0),1)))</f>
        <v>#VALUE!</v>
      </c>
    </row>
    <row r="106" spans="1:2" hidden="1" x14ac:dyDescent="0.25">
      <c r="A106" s="108" t="s">
        <v>48</v>
      </c>
      <c r="B106" s="19" t="e">
        <f>IF(B105="","",IF(B105=1,1,IF(B105=2,0.8,IF(B105=3,0.5,IF(B105=4,0.25,IF(B105="Omsætningsnedgangen opfylder ikke kravet om nedgang på minimum 35 pct.",0))))))</f>
        <v>#VALUE!</v>
      </c>
    </row>
    <row r="107" spans="1:2" hidden="1" x14ac:dyDescent="0.25">
      <c r="A107" s="108" t="s">
        <v>49</v>
      </c>
      <c r="B107" s="19" t="e">
        <f>IF(B106="","",B45/B44)</f>
        <v>#VALUE!</v>
      </c>
    </row>
    <row r="108" spans="1:2" hidden="1" x14ac:dyDescent="0.25">
      <c r="A108" s="95"/>
      <c r="B108" s="70"/>
    </row>
    <row r="109" spans="1:2" hidden="1" x14ac:dyDescent="0.25">
      <c r="A109" s="17" t="s">
        <v>50</v>
      </c>
      <c r="B109" s="17"/>
    </row>
    <row r="110" spans="1:2" hidden="1" x14ac:dyDescent="0.25">
      <c r="A110" s="17" t="s">
        <v>123</v>
      </c>
      <c r="B110" s="17"/>
    </row>
    <row r="111" spans="1:2" hidden="1" x14ac:dyDescent="0.25">
      <c r="A111" s="17"/>
      <c r="B111" s="17"/>
    </row>
    <row r="112" spans="1:2" hidden="1" x14ac:dyDescent="0.25">
      <c r="A112" s="116" t="s">
        <v>124</v>
      </c>
      <c r="B112" s="42" t="str">
        <f>IF(Ansøgning!B117="","",Ansøgning!B117)</f>
        <v>Indtast beløb</v>
      </c>
    </row>
    <row r="113" spans="1:2" hidden="1" x14ac:dyDescent="0.25">
      <c r="A113" s="110" t="s">
        <v>51</v>
      </c>
      <c r="B113" s="22" t="e">
        <f>IF(OR(ISTEXT(B88),B112=""),0,IF(B112*0.8&gt;16000,16000,B112*0.8))</f>
        <v>#VALUE!</v>
      </c>
    </row>
    <row r="114" spans="1:2" hidden="1" x14ac:dyDescent="0.25">
      <c r="A114" s="17"/>
      <c r="B114" s="17"/>
    </row>
    <row r="115" spans="1:2" hidden="1" x14ac:dyDescent="0.25">
      <c r="A115" s="101" t="s">
        <v>62</v>
      </c>
      <c r="B115" s="23">
        <f>MAX(IF(ISNUMBER(B88),IF(B88-IF(ISNUMBER(B97),B97,0)&gt;0,IF(B97="",B88+B113,IF(B98&lt;0.5,B88+B113-B97,IF(B102="Nej",B88+B113-B97,IF(AND(B98&gt;0.5,B102="Ja"),B88*0.5+B113)))),0),0),0)</f>
        <v>0</v>
      </c>
    </row>
  </sheetData>
  <sheetProtection algorithmName="SHA-512" hashValue="p5gy63kNW7mKev6+ftxk1va5BkHvxFVp2qyBHcROAiY09Bq6nHyAr3elCuqLT9lqB6Eydxn5fpJ6Nzk5wGIW6A==" saltValue="kvy1bOi0Zz9xy1kux/r2IA==" spinCount="100000" sheet="1" formatColumns="0"/>
  <conditionalFormatting sqref="A67:B67 A77:B77">
    <cfRule type="expression" dxfId="58" priority="23">
      <formula>$B$37="Dele af kompensationsperioden"</formula>
    </cfRule>
  </conditionalFormatting>
  <conditionalFormatting sqref="A53:B53">
    <cfRule type="expression" dxfId="57" priority="26">
      <formula>ABS($B$52)&gt;0.1</formula>
    </cfRule>
  </conditionalFormatting>
  <conditionalFormatting sqref="A79:B79">
    <cfRule type="expression" dxfId="56" priority="28">
      <formula>ABS($B$78)&gt;0.1</formula>
    </cfRule>
  </conditionalFormatting>
  <conditionalFormatting sqref="A93">
    <cfRule type="expression" dxfId="55" priority="20">
      <formula>$B$92="Ja"</formula>
    </cfRule>
    <cfRule type="expression" dxfId="54" priority="22">
      <formula>$B$92="Ja"</formula>
    </cfRule>
  </conditionalFormatting>
  <conditionalFormatting sqref="A94">
    <cfRule type="expression" dxfId="53" priority="19">
      <formula>$B$93="Nej"</formula>
    </cfRule>
  </conditionalFormatting>
  <conditionalFormatting sqref="A95:B95">
    <cfRule type="expression" dxfId="52" priority="18">
      <formula>$B$94="Nej"</formula>
    </cfRule>
  </conditionalFormatting>
  <conditionalFormatting sqref="A97:B97">
    <cfRule type="expression" dxfId="51" priority="14">
      <formula>AND($B$92="Ja",$B$93="Nej",$B$94="Nej",$B$95="")</formula>
    </cfRule>
  </conditionalFormatting>
  <conditionalFormatting sqref="B98">
    <cfRule type="expression" dxfId="50" priority="13">
      <formula>AND(ISNUMBER($B$98),$B$98&gt;0.5)</formula>
    </cfRule>
  </conditionalFormatting>
  <conditionalFormatting sqref="A102:B102">
    <cfRule type="expression" dxfId="49" priority="12">
      <formula>AND(ISNUMBER($B$98),$B$98&gt;0.5)</formula>
    </cfRule>
  </conditionalFormatting>
  <conditionalFormatting sqref="A21:B21">
    <cfRule type="expression" dxfId="48" priority="8">
      <formula>$B$20="Nej"</formula>
    </cfRule>
  </conditionalFormatting>
  <conditionalFormatting sqref="B24">
    <cfRule type="expression" dxfId="47" priority="7">
      <formula>AND(ISNUMBER($B$24),$B$24&gt;0.5)</formula>
    </cfRule>
  </conditionalFormatting>
  <conditionalFormatting sqref="A27:B27">
    <cfRule type="expression" dxfId="46" priority="6">
      <formula>AND(ISNUMBER($B$76),$B$76&gt;0.5)</formula>
    </cfRule>
  </conditionalFormatting>
  <conditionalFormatting sqref="A26:B27">
    <cfRule type="expression" dxfId="45" priority="5">
      <formula>AND(ISNUMBER($B$24),$B$24&gt;0.5)</formula>
    </cfRule>
  </conditionalFormatting>
  <conditionalFormatting sqref="A20:B20">
    <cfRule type="expression" dxfId="44" priority="4">
      <formula>$B$19="Ja"</formula>
    </cfRule>
  </conditionalFormatting>
  <conditionalFormatting sqref="A18:B18">
    <cfRule type="expression" dxfId="43" priority="2">
      <formula>ISNUMBER($B$17)</formula>
    </cfRule>
  </conditionalFormatting>
  <dataValidations count="3">
    <dataValidation type="list" showInputMessage="1" showErrorMessage="1" errorTitle="Ugyldig dato" error="Der skal oplyses en dato i perioden 9. marts 2020-8. juli 2020." sqref="B36 B42 B38">
      <formula1>Kompensationsperiode</formula1>
    </dataValidation>
    <dataValidation type="list" showInputMessage="1" showErrorMessage="1" sqref="B27">
      <formula1>FastholdeUdbetaling</formula1>
    </dataValidation>
    <dataValidation type="list" showInputMessage="1" showErrorMessage="1" errorTitle="Ugyldig indtastning" error="Der skal vælges mellem Ja/Nej." sqref="B20:B21">
      <formula1>NegativtResultat</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1FE1A8CE-9426-4BE7-9691-3D5A8D99C663}">
            <xm:f>Ansøgning!$B$9="Dele af kompensationsperioden"</xm:f>
            <x14:dxf>
              <fill>
                <patternFill patternType="none">
                  <bgColor auto="1"/>
                </patternFill>
              </fill>
            </x14:dxf>
          </x14:cfRule>
          <xm:sqref>A9:B12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RowHeight="15" x14ac:dyDescent="0.25"/>
  <cols>
    <col min="1" max="1" width="104.140625" customWidth="1"/>
    <col min="2" max="2" width="18" style="12" customWidth="1"/>
    <col min="3" max="3" width="17" style="47" customWidth="1"/>
    <col min="4" max="4" width="20.5703125" style="48" customWidth="1"/>
  </cols>
  <sheetData>
    <row r="1" spans="1:4" x14ac:dyDescent="0.25">
      <c r="A1" s="1" t="s">
        <v>101</v>
      </c>
      <c r="B1" s="45" t="s">
        <v>117</v>
      </c>
      <c r="C1" s="54" t="s">
        <v>118</v>
      </c>
      <c r="D1" s="55" t="s">
        <v>103</v>
      </c>
    </row>
    <row r="5" spans="1:4" x14ac:dyDescent="0.25">
      <c r="A5" t="s">
        <v>108</v>
      </c>
    </row>
    <row r="6" spans="1:4" x14ac:dyDescent="0.25">
      <c r="A6" t="s">
        <v>109</v>
      </c>
    </row>
    <row r="8" spans="1:4" x14ac:dyDescent="0.25">
      <c r="A8" t="str">
        <f>+Ansøgning!A12</f>
        <v>Forventet kommerciel omsætning i kompensationsperioden</v>
      </c>
      <c r="B8" s="57" t="str">
        <f>+Ansøgning!B12</f>
        <v>Indtast beløb</v>
      </c>
      <c r="C8" s="58"/>
      <c r="D8" s="59" t="str">
        <f>IFERROR(+C8-B8,"")</f>
        <v/>
      </c>
    </row>
    <row r="11" spans="1:4" x14ac:dyDescent="0.25">
      <c r="A11" s="3" t="s">
        <v>104</v>
      </c>
    </row>
    <row r="12" spans="1:4" x14ac:dyDescent="0.25">
      <c r="A12" s="46" t="s">
        <v>106</v>
      </c>
      <c r="B12" s="51" t="str">
        <f>+MID(A14,FIND("perioden",A14,1)+9,10)</f>
        <v/>
      </c>
      <c r="C12" s="52"/>
      <c r="D12" s="50" t="str">
        <f>+IF(B12=C12,"SAND","FALSK")</f>
        <v>SAND</v>
      </c>
    </row>
    <row r="13" spans="1:4" x14ac:dyDescent="0.25">
      <c r="A13" s="46" t="s">
        <v>107</v>
      </c>
      <c r="B13" s="51" t="str">
        <f>+MID(A14,FIND("perioden",A14,1)+24,10)</f>
        <v/>
      </c>
      <c r="C13" s="53"/>
      <c r="D13" s="50" t="str">
        <f>+IF(B13=C13,"SAND","FALSK")</f>
        <v>SAND</v>
      </c>
    </row>
    <row r="14" spans="1:4" x14ac:dyDescent="0.25">
      <c r="A14" t="str">
        <f>+Ansøgning!A19</f>
        <v xml:space="preserve">Realiseret omsætning i alt i perioden </v>
      </c>
      <c r="B14" s="57" t="str">
        <f>+Ansøgning!B19</f>
        <v>Indtast beløb</v>
      </c>
      <c r="C14" s="58"/>
      <c r="D14" s="59" t="str">
        <f>IFERROR(+C14-B14,"")</f>
        <v/>
      </c>
    </row>
    <row r="15" spans="1:4" x14ac:dyDescent="0.25">
      <c r="A15" t="str">
        <f>+Ansøgning!A20</f>
        <v xml:space="preserve">Realiseret kommerciel omsætning i alt i perioden </v>
      </c>
      <c r="B15" s="57" t="str">
        <f>+Ansøgning!B20</f>
        <v>Indtast beløb</v>
      </c>
      <c r="C15" s="58"/>
      <c r="D15" s="59" t="str">
        <f>IFERROR(+C15-B15,"")</f>
        <v/>
      </c>
    </row>
    <row r="16" spans="1:4" x14ac:dyDescent="0.25">
      <c r="B16" s="57"/>
      <c r="C16" s="58"/>
      <c r="D16" s="59"/>
    </row>
    <row r="17" spans="1:4" x14ac:dyDescent="0.25">
      <c r="A17" t="str">
        <f>+Ansøgning!A21</f>
        <v>Opskaleret kommerciel omsætning svarende til en periode på fire måneder (institutioner stiftet efter 1. dec. 2019)</v>
      </c>
      <c r="B17" s="57" t="e">
        <f>+IF(OR(Ansøgning!B17="",Ansøgning!B18="",Ansøgning!B20=""),"",IF(AND(Ansøgning!B14="Institution stiftet efter 1. dec. 2019",AND(Ansøgning!B17&lt;&gt;"",Ansøgning!B18&lt;&gt;""),OR(AND(AND(Ansøgning!B17&gt;=DATE(2019,12,1),Ansøgning!B17&lt;=DATE(2019,12,31)),AND(Ansøgning!B18&gt;=DATE(2020,1,1),Ansøgning!B18&lt;=DATE(2020,1,31)),_xlfn.DAYS(Ansøgning!B18,Ansøgning!B17)+1&gt;=31),AND(AND(Ansøgning!B17&gt;=DATE(2020,1,1),Ansøgning!B17&lt;=DATE(2020,1,30)),AND(Ansøgning!B18&gt;=DATE(2020,2,1),Ansøgning!B18&lt;=DATE(2020,2,29)),_xlfn.DAYS(Ansøgning!B18,Ansøgning!B17)+1&gt;=31),AND(Ansøgning!B17=DATE(2020,1,31),Ansøgning!B18=DATE(2020,2,29)),AND(AND(Ansøgning!B17&gt;=DATE(2020,2,1),Ansøgning!B17&lt;=DATE(2020,2,29)),AND(Ansøgning!B18&gt;=DATE(2020,3,1),Ansøgning!B18&lt;=DATE(2020,3,9)),_xlfn.DAYS(Ansøgning!B18,Ansøgning!B17)+1&gt;=29),AND(Ansøgning!B17=DATE(2019,12,1),Ansøgning!B18=DATE(2019,12,31)),AND(Ansøgning!B17=DATE(2020,1,1),Ansøgning!B18=DATE(2020,1,31)),AND(Ansøgning!B17=DATE(2020,2,1),Ansøgning!B18=DATE(2020,2,29)))),Ansøgning!B20*(122/(_xlfn.DAYS(Ansøgning!B18,Ansøgning!B17)+1)),IF(Ansøgning!B14&lt;&gt;"Institution stiftet efter 1. dec. 2019","","Referenceperioden skal minimum opgøre en måned.")))</f>
        <v>#VALUE!</v>
      </c>
      <c r="C17" s="58"/>
      <c r="D17" s="59" t="str">
        <f>+IFERROR(C17-B17,"")</f>
        <v/>
      </c>
    </row>
    <row r="18" spans="1:4" x14ac:dyDescent="0.25">
      <c r="B18" s="57"/>
      <c r="C18" s="58"/>
      <c r="D18" s="59"/>
    </row>
    <row r="19" spans="1:4" x14ac:dyDescent="0.25">
      <c r="A19" s="49" t="s">
        <v>105</v>
      </c>
      <c r="B19" s="57"/>
      <c r="C19" s="58"/>
      <c r="D19" s="59"/>
    </row>
    <row r="20" spans="1:4" x14ac:dyDescent="0.25">
      <c r="B20" s="57"/>
      <c r="C20" s="58"/>
      <c r="D20" s="59"/>
    </row>
    <row r="21" spans="1:4" x14ac:dyDescent="0.25">
      <c r="A21" t="str">
        <f>+Ansøgning!A38</f>
        <v xml:space="preserve">Realiserede faste omkostninger </v>
      </c>
      <c r="B21" s="60" t="str">
        <f>+Ansøgning!B38</f>
        <v/>
      </c>
      <c r="C21" s="58"/>
      <c r="D21" s="59" t="str">
        <f>IFERROR(+C21-B21,"")</f>
        <v/>
      </c>
    </row>
    <row r="22" spans="1:4" x14ac:dyDescent="0.25">
      <c r="A22" t="str">
        <f>+Ansøgning!A39</f>
        <v>Forventede faste omkostninger i kompensationsperioden</v>
      </c>
      <c r="B22" s="57" t="str">
        <f>+Ansøgning!B39</f>
        <v>Indtast beløb</v>
      </c>
      <c r="C22" s="58"/>
      <c r="D22" s="59" t="str">
        <f>IFERROR(+C22-B22,"")</f>
        <v/>
      </c>
    </row>
    <row r="23" spans="1:4" x14ac:dyDescent="0.25">
      <c r="B23" s="57"/>
      <c r="C23" s="58"/>
      <c r="D23" s="59"/>
    </row>
    <row r="24" spans="1:4" x14ac:dyDescent="0.25">
      <c r="A24" t="s">
        <v>120</v>
      </c>
      <c r="B24" s="57" t="str">
        <f>+Ansøgning!B98</f>
        <v>Indtast beløb</v>
      </c>
      <c r="C24" s="58"/>
      <c r="D24" s="59" t="str">
        <f>IFERROR(+C24-B24,"")</f>
        <v/>
      </c>
    </row>
    <row r="25" spans="1:4" x14ac:dyDescent="0.25">
      <c r="B25" s="57"/>
      <c r="C25" s="58"/>
      <c r="D25" s="59"/>
    </row>
    <row r="26" spans="1:4" x14ac:dyDescent="0.25">
      <c r="A26" s="3" t="str">
        <f>+Ansøgning!A91</f>
        <v>FORVENTET KOMPENSATIONSBELØB I ALT</v>
      </c>
      <c r="B26" s="57" t="str">
        <f>IF(Ansøgning!B48="","",IF(Ansøgning!B39*Ansøgning!B20/Ansøgning!B19&lt;16666,"De faste omkostningers andel af de kommercielle indtægters andel af de samlede indtægter opfylder ikke kravet om at udgøre minimum 16.666 kr. i kompensationsperioden. Der kan derfor ikke udbetales kompensation.",IF(Ansøgning!B48+Ansøgning!B89&gt;110000000,110000000,IF(Ansøgning!B48+Ansøgning!B89&gt;IF(OR(Ansøgning!B14&lt;&gt;"Institution stiftet efter 1. dec. 2019",Ansøgning!B21=""),Ansøgning!B20,Ansøgning!B21)-Ansøgning!B12,IF(OR(Ansøgning!B14&lt;&gt;"Institution stiftet efter 1. dec. 2019",Ansøgning!B21=""),Ansøgning!B20,Ansøgning!B21)-Ansøgning!B12,Ansøgning!B48+Ansøgning!B89))))</f>
        <v/>
      </c>
      <c r="C26" s="58"/>
      <c r="D26" s="59" t="str">
        <f>IFERROR(+C26-B26,"")</f>
        <v/>
      </c>
    </row>
  </sheetData>
  <conditionalFormatting sqref="B21">
    <cfRule type="expression" dxfId="41" priority="123">
      <formula>#REF!="Nystartet institution"</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9" sqref="B9"/>
    </sheetView>
  </sheetViews>
  <sheetFormatPr defaultRowHeight="15" x14ac:dyDescent="0.25"/>
  <cols>
    <col min="1" max="1" width="104.140625" customWidth="1"/>
    <col min="2" max="2" width="16.28515625" style="12" customWidth="1"/>
    <col min="3" max="3" width="16.85546875" style="47" customWidth="1"/>
    <col min="4" max="4" width="16.140625" style="48" customWidth="1"/>
  </cols>
  <sheetData>
    <row r="1" spans="1:4" x14ac:dyDescent="0.25">
      <c r="A1" s="1" t="s">
        <v>116</v>
      </c>
      <c r="B1" s="45" t="s">
        <v>102</v>
      </c>
      <c r="C1" s="54" t="s">
        <v>119</v>
      </c>
      <c r="D1" s="55" t="s">
        <v>103</v>
      </c>
    </row>
    <row r="5" spans="1:4" x14ac:dyDescent="0.25">
      <c r="A5" t="s">
        <v>108</v>
      </c>
    </row>
    <row r="6" spans="1:4" x14ac:dyDescent="0.25">
      <c r="A6" t="s">
        <v>109</v>
      </c>
    </row>
    <row r="8" spans="1:4" x14ac:dyDescent="0.25">
      <c r="A8" s="3" t="str">
        <f>+Afrapportering!A4</f>
        <v>NEDENSTÅENDE OPLYSES FOR HELE KOMPENSATIONSPERIODEN</v>
      </c>
    </row>
    <row r="9" spans="1:4" x14ac:dyDescent="0.25">
      <c r="A9" t="str">
        <f>+Afrapportering!A5</f>
        <v>Faktisk omsætning i alt i kompensationsperioden</v>
      </c>
      <c r="B9" s="57" t="str">
        <f>+Afrapportering!B5</f>
        <v>Indtast beløb</v>
      </c>
      <c r="C9" s="58"/>
      <c r="D9" s="59" t="str">
        <f>IFERROR(+C9-B9,"")</f>
        <v/>
      </c>
    </row>
    <row r="10" spans="1:4" x14ac:dyDescent="0.25">
      <c r="A10" t="str">
        <f>+Afrapportering!A6</f>
        <v>Faktisk kommerciel omsætning i alt i kompensationsperioden</v>
      </c>
      <c r="B10" s="57" t="str">
        <f>+Afrapportering!B6</f>
        <v>Indtast beløb</v>
      </c>
      <c r="C10" s="58"/>
      <c r="D10" s="59" t="str">
        <f>IFERROR(+C10-B10,"")</f>
        <v/>
      </c>
    </row>
    <row r="11" spans="1:4" x14ac:dyDescent="0.25">
      <c r="A11" t="str">
        <f>+Afrapportering!A7</f>
        <v>Faktiske faste omkostninger i kompensationsperioden</v>
      </c>
      <c r="B11" s="57" t="str">
        <f>+Afrapportering!B7</f>
        <v>Indtast beløb</v>
      </c>
      <c r="C11" s="58"/>
      <c r="D11" s="59" t="str">
        <f>IFERROR(+C11-B11,"")</f>
        <v/>
      </c>
    </row>
    <row r="14" spans="1:4" x14ac:dyDescent="0.25">
      <c r="A14" s="3" t="str">
        <f>+Afrapportering!A9</f>
        <v>NEDENSTÅENDE OPLYSES FOR FORBUDSPERIODEN, HVIS DER HAR VÆRET ÅBNINGSFORBUD I DELE AF KOMPENSATIONSPERIODEN</v>
      </c>
    </row>
    <row r="15" spans="1:4" x14ac:dyDescent="0.25">
      <c r="A15" s="46" t="s">
        <v>106</v>
      </c>
      <c r="B15" s="56" t="str">
        <f>+MID(A18,FIND("perioden",A18,1)+9,10)</f>
        <v/>
      </c>
      <c r="C15" s="52"/>
      <c r="D15" s="50" t="str">
        <f>+IF(B15=C15,"SAND","FALSK")</f>
        <v>SAND</v>
      </c>
    </row>
    <row r="16" spans="1:4" x14ac:dyDescent="0.25">
      <c r="A16" s="46" t="s">
        <v>107</v>
      </c>
      <c r="B16" s="51" t="str">
        <f>+MID(A18,FIND("perioden",A18,1)+24,10)</f>
        <v/>
      </c>
      <c r="C16" s="53"/>
      <c r="D16" s="50" t="str">
        <f>+IF(B16=C16,"SAND","FALSK")</f>
        <v>SAND</v>
      </c>
    </row>
    <row r="17" spans="1:4" x14ac:dyDescent="0.25">
      <c r="A17" s="3" t="s">
        <v>112</v>
      </c>
      <c r="B17" s="51"/>
      <c r="C17" s="53"/>
      <c r="D17" s="50"/>
    </row>
    <row r="18" spans="1:4" x14ac:dyDescent="0.25">
      <c r="A18" t="str">
        <f>+Afrapportering!A10</f>
        <v xml:space="preserve">Faktisk omsætning i alt i forbudskompensationsperioden </v>
      </c>
      <c r="B18" s="57" t="str">
        <f>+Afrapportering!B10</f>
        <v>Indtast beløb</v>
      </c>
      <c r="C18" s="58"/>
      <c r="D18" s="59" t="str">
        <f>IFERROR(+C18-B18,"")</f>
        <v/>
      </c>
    </row>
    <row r="19" spans="1:4" x14ac:dyDescent="0.25">
      <c r="A19" t="str">
        <f>+Afrapportering!A11</f>
        <v xml:space="preserve">Faktisk kommerciel omsætning i alt i forbudskompensationsperioden </v>
      </c>
      <c r="B19" s="57" t="str">
        <f>+Afrapportering!B11</f>
        <v>Indtast beløb</v>
      </c>
      <c r="C19" s="58"/>
      <c r="D19" s="59" t="str">
        <f>IFERROR(+C19-B19,"")</f>
        <v/>
      </c>
    </row>
    <row r="22" spans="1:4" x14ac:dyDescent="0.25">
      <c r="A22" s="49" t="s">
        <v>113</v>
      </c>
      <c r="B22" s="57"/>
      <c r="C22" s="58"/>
      <c r="D22" s="59"/>
    </row>
    <row r="23" spans="1:4" x14ac:dyDescent="0.25">
      <c r="B23" s="57"/>
      <c r="C23" s="58"/>
      <c r="D23" s="59"/>
    </row>
    <row r="24" spans="1:4" x14ac:dyDescent="0.25">
      <c r="A24" t="str">
        <f>+Afrapportering!A12</f>
        <v xml:space="preserve">Faktiske faste omkostninger i forbudskompensationsperioden </v>
      </c>
      <c r="B24" s="60" t="str">
        <f>+Afrapportering!B12</f>
        <v>Indtast beløb</v>
      </c>
      <c r="C24" s="58"/>
      <c r="D24" s="59" t="str">
        <f>IFERROR(+C24-B24,"")</f>
        <v/>
      </c>
    </row>
    <row r="25" spans="1:4" x14ac:dyDescent="0.25">
      <c r="B25" s="60"/>
      <c r="C25" s="58"/>
      <c r="D25" s="59"/>
    </row>
    <row r="26" spans="1:4" x14ac:dyDescent="0.25">
      <c r="A26" t="s">
        <v>120</v>
      </c>
      <c r="B26" s="57" t="str">
        <f>+Afrapportering!B95</f>
        <v>Indtast beløb</v>
      </c>
      <c r="C26" s="58"/>
      <c r="D26" s="59" t="str">
        <f>IFERROR(+C26-B26,"")</f>
        <v/>
      </c>
    </row>
    <row r="27" spans="1:4" x14ac:dyDescent="0.25">
      <c r="B27" s="57"/>
      <c r="C27" s="58"/>
      <c r="D27" s="59"/>
    </row>
    <row r="28" spans="1:4" x14ac:dyDescent="0.25">
      <c r="A28" s="3" t="str">
        <f>+Afrapportering!A15</f>
        <v>Faktisk kompensationsbeløb ekskl. eventuel reduktion og godtgørelse af revisorudgifter</v>
      </c>
      <c r="B28" s="57" t="str">
        <f>+Afrapportering!B15</f>
        <v/>
      </c>
      <c r="C28" s="58"/>
      <c r="D28" s="59" t="str">
        <f>IFERROR(+C28-B28,"")</f>
        <v/>
      </c>
    </row>
    <row r="29" spans="1:4" x14ac:dyDescent="0.25">
      <c r="A29" s="3" t="str">
        <f>+Afrapportering!A29</f>
        <v>FAKTISK KOMPENSATIONSBELØB</v>
      </c>
      <c r="B29" s="57">
        <f>+Afrapportering!B29</f>
        <v>0</v>
      </c>
      <c r="C29" s="58"/>
      <c r="D29" s="59">
        <f t="shared" ref="D29:D30" si="0">+C29-B29</f>
        <v>0</v>
      </c>
    </row>
    <row r="30" spans="1:4" x14ac:dyDescent="0.25">
      <c r="A30" s="3" t="str">
        <f>+Afrapportering!A30</f>
        <v>EFTERREGULERING (- INSTITUTIONEN SKAL TILBAGEBETALE, + INSTITUTIONEN HAR KOMPENSATION TIL GODE)</v>
      </c>
      <c r="B30" s="57">
        <f>+Afrapportering!B30</f>
        <v>0</v>
      </c>
      <c r="C30" s="58"/>
      <c r="D30" s="59">
        <f t="shared" si="0"/>
        <v>0</v>
      </c>
    </row>
  </sheetData>
  <conditionalFormatting sqref="B24:B25">
    <cfRule type="expression" dxfId="40" priority="1">
      <formula>#REF!="Nystartet institution"</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workbookViewId="0"/>
  </sheetViews>
  <sheetFormatPr defaultRowHeight="15" x14ac:dyDescent="0.25"/>
  <cols>
    <col min="1" max="1" width="94.28515625" customWidth="1"/>
    <col min="2" max="2" width="53.140625" style="17" customWidth="1"/>
  </cols>
  <sheetData>
    <row r="1" spans="1:3" x14ac:dyDescent="0.25">
      <c r="A1" s="92" t="s">
        <v>130</v>
      </c>
      <c r="B1" s="123"/>
    </row>
    <row r="2" spans="1:3" ht="29.1" customHeight="1" x14ac:dyDescent="0.25">
      <c r="A2" s="93" t="s">
        <v>128</v>
      </c>
      <c r="B2" s="104"/>
    </row>
    <row r="3" spans="1:3" x14ac:dyDescent="0.25">
      <c r="A3" s="94"/>
      <c r="B3" s="124"/>
    </row>
    <row r="4" spans="1:3" x14ac:dyDescent="0.25">
      <c r="A4" s="94" t="s">
        <v>11</v>
      </c>
      <c r="B4" s="125" t="str">
        <f>IF(Ansøgning!B4="","",Ansøgning!B4)</f>
        <v>Indtast navn</v>
      </c>
    </row>
    <row r="5" spans="1:3" x14ac:dyDescent="0.25">
      <c r="A5" s="95" t="s">
        <v>0</v>
      </c>
      <c r="B5" s="125" t="str">
        <f>IF(Ansøgning!B5="","",Ansøgning!B5)</f>
        <v>Indtast CVR-nr.</v>
      </c>
    </row>
    <row r="6" spans="1:3" x14ac:dyDescent="0.25">
      <c r="A6" s="26" t="s">
        <v>2</v>
      </c>
      <c r="B6" s="35">
        <v>43899</v>
      </c>
    </row>
    <row r="7" spans="1:3" x14ac:dyDescent="0.25">
      <c r="A7" s="26" t="s">
        <v>3</v>
      </c>
      <c r="B7" s="35">
        <v>44020</v>
      </c>
    </row>
    <row r="8" spans="1:3" x14ac:dyDescent="0.25">
      <c r="A8" s="95"/>
      <c r="B8" s="126"/>
    </row>
    <row r="9" spans="1:3" x14ac:dyDescent="0.25">
      <c r="A9" s="95" t="s">
        <v>35</v>
      </c>
      <c r="B9" s="125" t="str">
        <f>IF(Ansøgning!B9="","",Ansøgning!B9)</f>
        <v>Vælg/Indtast</v>
      </c>
    </row>
    <row r="10" spans="1:3" x14ac:dyDescent="0.25">
      <c r="A10" s="95"/>
      <c r="B10" s="126"/>
    </row>
    <row r="11" spans="1:3" x14ac:dyDescent="0.25">
      <c r="A11" s="95" t="s">
        <v>53</v>
      </c>
      <c r="B11" s="126"/>
    </row>
    <row r="12" spans="1:3" x14ac:dyDescent="0.25">
      <c r="A12" s="17" t="s">
        <v>52</v>
      </c>
      <c r="B12" s="125" t="str">
        <f>IF(Ansøgning!B12="","",Ansøgning!B12)</f>
        <v>Indtast beløb</v>
      </c>
    </row>
    <row r="13" spans="1:3" x14ac:dyDescent="0.25">
      <c r="A13" s="17"/>
      <c r="B13" s="126"/>
    </row>
    <row r="14" spans="1:3" x14ac:dyDescent="0.25">
      <c r="A14" s="95" t="s">
        <v>28</v>
      </c>
      <c r="B14" s="125" t="str">
        <f>IF(Ansøgning!B14="","",Ansøgning!B14)</f>
        <v>Vælg/Indtast</v>
      </c>
      <c r="C14" t="str">
        <f>IF(B14="Anden referenceperiode (kun ved særlige omstændigheder)","Begrundelse for valg af anden referenceperiode skal vedlægges som bilag.","")</f>
        <v/>
      </c>
    </row>
    <row r="15" spans="1:3" x14ac:dyDescent="0.25">
      <c r="A15" s="26" t="s">
        <v>37</v>
      </c>
      <c r="B15" s="125" t="str">
        <f>IF(Ansøgning!B15="","",Ansøgning!B15)</f>
        <v>Vælg/Indtast</v>
      </c>
    </row>
    <row r="16" spans="1:3" x14ac:dyDescent="0.25">
      <c r="A16" s="26" t="s">
        <v>38</v>
      </c>
      <c r="B16" s="125" t="str">
        <f>IF(Ansøgning!B16="","",Ansøgning!B16)</f>
        <v>Vælg/Indtast</v>
      </c>
    </row>
    <row r="17" spans="1:2" x14ac:dyDescent="0.25">
      <c r="A17" s="26" t="s">
        <v>30</v>
      </c>
      <c r="B17" s="125" t="str">
        <f>IF(Ansøgning!B17="","",Ansøgning!B17)</f>
        <v>Vælg/Indtast</v>
      </c>
    </row>
    <row r="18" spans="1:2" x14ac:dyDescent="0.25">
      <c r="A18" s="26" t="s">
        <v>41</v>
      </c>
      <c r="B18" s="125" t="str">
        <f>IF(Ansøgning!B18="","",Ansøgning!B18)</f>
        <v>Vælg/Indtast</v>
      </c>
    </row>
    <row r="19" spans="1:2" x14ac:dyDescent="0.25">
      <c r="A19" s="17" t="str">
        <f>"Realiseret omsætning i alt i perioden "&amp;IF($B$14="Anden referenceperiode (kun ved særlige omstændigheder)",IF(OR($B$15="Vælg/Indtast",$B$16="Vælg/Indtast"),"",TEXT($B$15,"dd-mm-åååå")&amp;" til "&amp;TEXT($B$16,"dd-mm-åååå")),IF($B$14="Institution stiftet efter 1. dec. 2019",IF(OR($B$17="Vælg/Indtast",$B$18="Vælg/Indtast"),"",TEXT($B$17,"dd-mm-åååå")&amp;" til "&amp;TEXT($B$18,"dd-mm-åååå")),IF($B$14="Vælg/Indtast","",$B$14)))</f>
        <v xml:space="preserve">Realiseret omsætning i alt i perioden </v>
      </c>
      <c r="B19" s="125" t="str">
        <f>IF(Ansøgning!B19="","",Ansøgning!B19)</f>
        <v>Indtast beløb</v>
      </c>
    </row>
    <row r="20" spans="1:2" x14ac:dyDescent="0.25">
      <c r="A20" s="17" t="str">
        <f>"Realiseret kommerciel omsætning i alt i perioden "&amp;IF($B$14="Anden referenceperiode (kun ved særlige omstændigheder)",IF(OR($B$15="Vælg/Indtast",$B$16="Vælg/Indtast"),"",TEXT($B$15,"dd-mm-åååå")&amp;" til "&amp;TEXT($B$16,"dd-mm-åååå")),IF($B$14="Institution stiftet efter 1. dec. 2019",IF(OR($B$17="Vælg/Indtast",$B$18="Vælg/Indtast"),"",TEXT($B$17,"dd-mm-åååå")&amp;" til "&amp;TEXT($B$18,"dd-mm-åååå")),IF($B$14="Vælg/Indtast","",$B$14)))</f>
        <v xml:space="preserve">Realiseret kommerciel omsætning i alt i perioden </v>
      </c>
      <c r="B20" s="125" t="str">
        <f>IF(Ansøgning!B20="","",Ansøgning!B20)</f>
        <v>Indtast beløb</v>
      </c>
    </row>
    <row r="21" spans="1:2" x14ac:dyDescent="0.25">
      <c r="A21" s="25" t="s">
        <v>68</v>
      </c>
      <c r="B21" s="21" t="str">
        <f>IF(OR(B17="Vælg/Indtast",B18="Vælg/Indtast",B20=""),"",IF(AND(B14="Institution stiftet efter 1. dec. 2019",AND(B17&lt;&gt;"",B18&lt;&gt;""),OR(AND(AND(B17&gt;=DATE(2019,12,1),B17&lt;=DATE(2019,12,31)),AND(B18&gt;=DATE(2020,1,1),B18&lt;=DATE(2020,1,31)),_xlfn.DAYS(B18,B17)+1&gt;=31),AND(AND(B17&gt;=DATE(2020,1,1),B17&lt;=DATE(2020,1,30)),AND(B18&gt;=DATE(2020,2,1),B18&lt;=DATE(2020,2,29)),_xlfn.DAYS(B18,B17)+1&gt;=31),AND(B17=DATE(2020,1,31),B18=DATE(2020,2,29)),AND(AND(B17&gt;=DATE(2020,2,1),B17&lt;=DATE(2020,2,29)),AND(B18&gt;=DATE(2020,3,1),B18&lt;=DATE(2020,3,9)),_xlfn.DAYS(B18,B17)+1&gt;=29),AND(B17=DATE(2019,12,1),B18=DATE(2019,12,31)),AND(B17=DATE(2020,1,1),B18=DATE(2020,1,31)),AND(B17=DATE(2020,2,1),B18=DATE(2020,2,29)),AND(AND(B17&gt;=DATE(2019,12,1),B17&lt;=DATE(2019,12,31)),AND(B18&gt;=DATE(2020,2,1),B18&lt;=DATE(2020,2,29))),AND(AND(B17&gt;=DATE(2019,12,1),B17&lt;=DATE(2019,12,31)),AND(B18&gt;=DATE(2020,3,1),B18&lt;=DATE(2020,3,9))),AND(AND(B17&gt;=DATE(2020,1,1),B17&lt;=DATE(2020,1,31)),AND(B18&gt;=DATE(2020,3,1),B18&lt;=DATE(2020,3,9))))),B20*(122/(_xlfn.DAYS(B18,B17)+1)),IF(B14&lt;&gt;"Institution stiftet efter 1. dec. 2019","","Referenceperioden skal minimum opgøre en måned.")))</f>
        <v/>
      </c>
    </row>
    <row r="22" spans="1:2" x14ac:dyDescent="0.25">
      <c r="A22" s="17"/>
      <c r="B22" s="67"/>
    </row>
    <row r="23" spans="1:2" x14ac:dyDescent="0.25">
      <c r="A23" s="95" t="s">
        <v>55</v>
      </c>
      <c r="B23" s="125" t="str">
        <f>IF(Ansøgning!B23="","",Ansøgning!B23)</f>
        <v>Vælg/Indtast</v>
      </c>
    </row>
    <row r="24" spans="1:2" x14ac:dyDescent="0.25">
      <c r="A24" s="26" t="s">
        <v>30</v>
      </c>
      <c r="B24" s="125" t="str">
        <f>IF(Ansøgning!B24="","",Ansøgning!B24)</f>
        <v>Vælg/Indtast</v>
      </c>
    </row>
    <row r="25" spans="1:2" x14ac:dyDescent="0.25">
      <c r="A25" s="26" t="s">
        <v>31</v>
      </c>
      <c r="B25" s="120">
        <v>43899</v>
      </c>
    </row>
    <row r="26" spans="1:2" x14ac:dyDescent="0.25">
      <c r="A26" s="96"/>
      <c r="B26" s="127"/>
    </row>
    <row r="27" spans="1:2" x14ac:dyDescent="0.25">
      <c r="A27" s="26" t="str">
        <f>"Oplys realiserede faste omkostninger "&amp;IF(B23="Vælg/Indtast","",IF(B23="Institution stiftet efter 1. dec. 2019",IF(OR(B24="",B25=""),"","i perioden "&amp;TEXT(B24,"dd-mm-åååå")&amp;" til "&amp;TEXT(B25,"dd-mm-åååå")),IF(B23="01-11-2019 til 29-02-2020","i perioden "&amp;B23)))&amp;" herunder."</f>
        <v>Oplys realiserede faste omkostninger  herunder.</v>
      </c>
      <c r="B27" s="66"/>
    </row>
    <row r="28" spans="1:2" x14ac:dyDescent="0.25">
      <c r="A28" s="96"/>
      <c r="B28" s="128"/>
    </row>
    <row r="29" spans="1:2" x14ac:dyDescent="0.25">
      <c r="A29" s="97" t="s">
        <v>93</v>
      </c>
      <c r="B29" s="125" t="str">
        <f>IF(Ansøgning!B29="","",Ansøgning!B29)</f>
        <v>Indtast beløb</v>
      </c>
    </row>
    <row r="30" spans="1:2" x14ac:dyDescent="0.25">
      <c r="A30" s="98" t="s">
        <v>94</v>
      </c>
      <c r="B30" s="125" t="str">
        <f>IF(Ansøgning!B30="","",Ansøgning!B30)</f>
        <v>Indtast beløb</v>
      </c>
    </row>
    <row r="31" spans="1:2" x14ac:dyDescent="0.25">
      <c r="A31" s="98" t="s">
        <v>110</v>
      </c>
      <c r="B31" s="125" t="str">
        <f>IF(Ansøgning!B31="","",Ansøgning!B31)</f>
        <v>Indtast beløb</v>
      </c>
    </row>
    <row r="32" spans="1:2" x14ac:dyDescent="0.25">
      <c r="A32" s="98" t="s">
        <v>96</v>
      </c>
      <c r="B32" s="125" t="str">
        <f>IF(Ansøgning!B32="","",Ansøgning!B32)</f>
        <v>Indtast beløb</v>
      </c>
    </row>
    <row r="33" spans="1:2" x14ac:dyDescent="0.25">
      <c r="A33" s="98" t="s">
        <v>97</v>
      </c>
      <c r="B33" s="125" t="str">
        <f>IF(Ansøgning!B33="","",Ansøgning!B33)</f>
        <v>Indtast beløb</v>
      </c>
    </row>
    <row r="34" spans="1:2" x14ac:dyDescent="0.25">
      <c r="A34" s="98" t="s">
        <v>111</v>
      </c>
      <c r="B34" s="125" t="str">
        <f>IF(Ansøgning!B34="","",Ansøgning!B34)</f>
        <v>Indtast beløb</v>
      </c>
    </row>
    <row r="35" spans="1:2" x14ac:dyDescent="0.25">
      <c r="A35" s="98" t="s">
        <v>99</v>
      </c>
      <c r="B35" s="125" t="str">
        <f>IF(Ansøgning!B35="","",Ansøgning!B35)</f>
        <v>Indtast beløb</v>
      </c>
    </row>
    <row r="36" spans="1:2" x14ac:dyDescent="0.25">
      <c r="A36" s="99" t="s">
        <v>121</v>
      </c>
      <c r="B36" s="125" t="str">
        <f>IF(Ansøgning!B36="","",Ansøgning!B36)</f>
        <v>Indtast beløb</v>
      </c>
    </row>
    <row r="37" spans="1:2" x14ac:dyDescent="0.25">
      <c r="A37" s="96"/>
      <c r="B37" s="122" t="str">
        <f>IF(ISNUMBER(B36),IF(B36/B38&gt;0.2,"Ansøger skal indsende en udspecificeret liste over de øvrige omkostninger.",""),"")</f>
        <v/>
      </c>
    </row>
    <row r="38" spans="1:2" x14ac:dyDescent="0.25">
      <c r="A38" s="25" t="str">
        <f>"Realiserede faste omkostninger "&amp;IF(B23="Vælg/Indtast","",IF(B23="Institution stiftet efter 1. dec. 2019",IF(OR(B24="",B25=""),"","i perioden "&amp;TEXT(B24,"dd-mm-åååå")&amp;" til "&amp;TEXT(B25,"dd-mm-åååå")),IF(B23="01-11-2019 til 29-02-2020","i perioden "&amp;B23)))</f>
        <v xml:space="preserve">Realiserede faste omkostninger </v>
      </c>
      <c r="B38" s="21" t="str">
        <f>IF(SUM(B29:B36)=0,"",SUM(B29:B36))</f>
        <v/>
      </c>
    </row>
    <row r="39" spans="1:2" x14ac:dyDescent="0.25">
      <c r="A39" s="17" t="s">
        <v>17</v>
      </c>
      <c r="B39" s="125" t="str">
        <f>IF(Ansøgning!B39="","",Ansøgning!B39)</f>
        <v>Indtast beløb</v>
      </c>
    </row>
    <row r="40" spans="1:2" x14ac:dyDescent="0.25">
      <c r="A40" s="100" t="s">
        <v>14</v>
      </c>
      <c r="B40" s="14" t="str">
        <f>IFERROR(IF(AND(ISNUMBER(B38),ISNUMBER(B39)),(B39-B38)/B38,""),"")</f>
        <v/>
      </c>
    </row>
    <row r="41" spans="1:2" x14ac:dyDescent="0.25">
      <c r="A41" s="25" t="s">
        <v>15</v>
      </c>
      <c r="B41" s="121" t="str">
        <f>IFERROR(IF(ISNUMBER(B40),IF(ABS(B40)&gt;0.1,"Ansøger skal vedlægge et bilag, der forklarer, hvad afvigelsen skyldes, og hvorfor den ikke kunne afværges.",""),""),"")</f>
        <v/>
      </c>
    </row>
    <row r="42" spans="1:2" x14ac:dyDescent="0.25">
      <c r="A42" s="17"/>
      <c r="B42" s="67"/>
    </row>
    <row r="43" spans="1:2" x14ac:dyDescent="0.25">
      <c r="A43" s="26" t="s">
        <v>18</v>
      </c>
      <c r="B43" s="14" t="str">
        <f>IFERROR(IF(OR(B12="",B20=""),"",(IF(B14="Institution stiftet efter 1. dec. 2019",B21,B20)-IF(ISNUMBER(B60),B60,0)-B12-IF(ISNUMBER(B54),B54,0))/(IF(B14="Institution stiftet efter 1. dec. 2019",B21,B20)-IF(ISNUMBER(B60),B60,0))),"")</f>
        <v/>
      </c>
    </row>
    <row r="44" spans="1:2" x14ac:dyDescent="0.25">
      <c r="A44" s="26" t="s">
        <v>56</v>
      </c>
      <c r="B44" s="15" t="str">
        <f>IF($B$43="","",IF(AND($B$9="Hele kompensationsperioden",$B$12=0),1,IF(AND($B$43&gt;=0.8,$B$43&lt;=1),2,IF(AND($B$43&gt;=0.6,$B$43&lt;8),3,IF(AND($B$43&gt;=0.35,$B$43&lt;0.6),4,IF($B$43&lt;0.35,"Omsætningsnedgangen opfylder ikke kravet om nedgang på minimum 35 pct."))))))</f>
        <v/>
      </c>
    </row>
    <row r="45" spans="1:2" x14ac:dyDescent="0.25">
      <c r="A45" s="26" t="s">
        <v>57</v>
      </c>
      <c r="B45" s="14" t="str">
        <f>IF(B44="","",IF(B44=1,1,IF(B44=2,0.8,IF(B44=3,0.5,IF(B44=4,0.25,IF(B44="Omsætningsnedgangen opfylder ikke kravet om nedgang på minimum 35 pct.",0))))))</f>
        <v/>
      </c>
    </row>
    <row r="46" spans="1:2" x14ac:dyDescent="0.25">
      <c r="A46" s="26" t="s">
        <v>66</v>
      </c>
      <c r="B46" s="14" t="str">
        <f>IFERROR(IF(OR(B12="",B12="Indtast beløb"),"",(B20-IF(ISNUMBER(B60),B60,0))/(B19-IF(ISNUMBER(B59),B59,0))),"")</f>
        <v/>
      </c>
    </row>
    <row r="47" spans="1:2" x14ac:dyDescent="0.25">
      <c r="A47" s="96"/>
      <c r="B47" s="67"/>
    </row>
    <row r="48" spans="1:2" x14ac:dyDescent="0.25">
      <c r="A48" s="101" t="s">
        <v>100</v>
      </c>
      <c r="B48" s="16" t="str">
        <f>IF(B45="","",IF(B44="Omsætningsnedgangen opfylder ikke kravet om nedgang på minimum 35 pct.",0,(B39-IF(ISNUMBER(B80),B80,0))*B46*B45))</f>
        <v/>
      </c>
    </row>
    <row r="49" spans="1:2" x14ac:dyDescent="0.25">
      <c r="A49" s="95"/>
      <c r="B49" s="67"/>
    </row>
    <row r="50" spans="1:2" x14ac:dyDescent="0.25">
      <c r="A50" s="102" t="s">
        <v>19</v>
      </c>
      <c r="B50" s="25"/>
    </row>
    <row r="51" spans="1:2" x14ac:dyDescent="0.25">
      <c r="A51" s="25" t="s">
        <v>27</v>
      </c>
      <c r="B51" s="125" t="str">
        <f>IF(Ansøgning!B51="","",Ansøgning!B51)</f>
        <v>Vælg/Indtast</v>
      </c>
    </row>
    <row r="52" spans="1:2" x14ac:dyDescent="0.25">
      <c r="A52" s="25" t="s">
        <v>20</v>
      </c>
      <c r="B52" s="125" t="str">
        <f>IF(Ansøgning!B52="","",Ansøgning!B52)</f>
        <v>Vælg/Indtast</v>
      </c>
    </row>
    <row r="53" spans="1:2" x14ac:dyDescent="0.25">
      <c r="A53" s="25"/>
      <c r="B53" s="25"/>
    </row>
    <row r="54" spans="1:2" x14ac:dyDescent="0.25">
      <c r="A54" s="25" t="str">
        <f>"Forventet kommerciel omsætning i alt i forbudskompensationsperioden "&amp;IF(OR($B$51="Vælg/Indtast",$B$52="Vælg/Indtast"),"",TEXT($B$51,"dd-mm-åååå")&amp;" til "&amp;TEXT($B$52,"dd-mm-åååå"))</f>
        <v xml:space="preserve">Forventet kommerciel omsætning i alt i forbudskompensationsperioden </v>
      </c>
      <c r="B54" s="125" t="str">
        <f>IF(Ansøgning!B54="","",Ansøgning!B54)</f>
        <v>Indtast beløb</v>
      </c>
    </row>
    <row r="55" spans="1:2" x14ac:dyDescent="0.25">
      <c r="A55" s="25"/>
      <c r="B55" s="25"/>
    </row>
    <row r="56" spans="1:2" x14ac:dyDescent="0.25">
      <c r="A56" s="26" t="s">
        <v>29</v>
      </c>
      <c r="B56" s="25"/>
    </row>
    <row r="57" spans="1:2" x14ac:dyDescent="0.25">
      <c r="A57" s="26" t="str">
        <f>"Referenceperiode start dato"&amp;" "&amp;IF($B$14="Anden referenceperiode","(i perioden "&amp;TEXT($B$15,"dd-mm-åååå")&amp;" til "&amp;TEXT($B$16,"dd-mm-åååå")&amp;")",IF($B$14="Institution stiftet efter 1. dec. 2019","(i perioden "&amp;TEXT($B$17,"dd-mm-åååå")&amp;" til "&amp;TEXT($B$18,"dd-mm-åååå")&amp;")",IF($B$14="Vælg/Indtast","","(i perioden "&amp;$B$14&amp;")")))</f>
        <v xml:space="preserve">Referenceperiode start dato </v>
      </c>
      <c r="B57" s="125" t="str">
        <f>IF(Ansøgning!B57="","",Ansøgning!B57)</f>
        <v>Vælg/Indtast</v>
      </c>
    </row>
    <row r="58" spans="1:2" x14ac:dyDescent="0.25">
      <c r="A58" s="26" t="str">
        <f>"Referenceperiode slut dato"&amp;" "&amp;IF($B$14="Anden referenceperiode","(i perioden "&amp;TEXT($B$15,"dd-mm-åååå")&amp;" til "&amp;TEXT($B$16,"dd-mm-åååå")&amp;")",IF($B$14="Institution stiftet efter 1. dec. 2019","(i perioden "&amp;TEXT($B$17,"dd-mm-åååå")&amp;" til "&amp;TEXT($B$18,"dd-mm-åååå")&amp;")",IF($B$14="Vælg/Indtast","","(i perioden "&amp;$B$14&amp;")")))</f>
        <v xml:space="preserve">Referenceperiode slut dato </v>
      </c>
      <c r="B58" s="125" t="str">
        <f>IF(Ansøgning!B58="","",Ansøgning!B58)</f>
        <v>Vælg/Indtast</v>
      </c>
    </row>
    <row r="59" spans="1:2" x14ac:dyDescent="0.25">
      <c r="A59" s="25" t="str">
        <f>"Realiseret omsætning i alt i forbudsreferenceperioden "&amp;IF(OR($B$57="",$B$58="",$B$57="Vælg/Indtast",$B$58="Vælg/Indtast"),"",TEXT($B$57,"dd-mm-åååå")&amp;" til "&amp;TEXT($B$58,"dd-mm-åååå"))</f>
        <v xml:space="preserve">Realiseret omsætning i alt i forbudsreferenceperioden </v>
      </c>
      <c r="B59" s="125" t="str">
        <f>IF(Ansøgning!B59="","",Ansøgning!B59)</f>
        <v>Indtast beløb</v>
      </c>
    </row>
    <row r="60" spans="1:2" x14ac:dyDescent="0.25">
      <c r="A60" s="25" t="str">
        <f>"Realiseret kommerciel omsætning i alt i forbudsreferenceperioden "&amp;IF(OR($B$57="",$B$58="",$B$57="Vælg/Indtast",$B$58="Vælg/Indtast"),"",TEXT($B$57,"dd-mm-åååå")&amp;" til "&amp;TEXT($B$58,"dd-mm-åååå"))</f>
        <v xml:space="preserve">Realiseret kommerciel omsætning i alt i forbudsreferenceperioden </v>
      </c>
      <c r="B60" s="125" t="str">
        <f>IF(Ansøgning!B60="","",Ansøgning!B60)</f>
        <v>Indtast beløb</v>
      </c>
    </row>
    <row r="61" spans="1:2" x14ac:dyDescent="0.25">
      <c r="A61" s="25" t="s">
        <v>69</v>
      </c>
      <c r="B61" s="21" t="str">
        <f>IFERROR(IF(ISNUMBER(B60),B60*(_xlfn.DAYS(B52,B51)+1)/(_xlfn.DAYS(B58,B57)+1),""),"")</f>
        <v/>
      </c>
    </row>
    <row r="62" spans="1:2" x14ac:dyDescent="0.25">
      <c r="A62" s="25"/>
      <c r="B62" s="25"/>
    </row>
    <row r="63" spans="1:2" x14ac:dyDescent="0.25">
      <c r="A63" s="26" t="s">
        <v>32</v>
      </c>
      <c r="B63" s="25"/>
    </row>
    <row r="64" spans="1:2" x14ac:dyDescent="0.25">
      <c r="A64" s="26" t="str">
        <f>"Referenceperiode start dato "&amp;IF($B$23="Institution stiftet efter 1. dec. 2019",IF(OR(B24="",B25=""),"","(i perioden "&amp;TEXT($B$24,"dd-mm-åååå")&amp;" til "&amp;TEXT($B$25,"dd-mm-åååå")&amp;")"),IF($B$23="Vælg/Indtast","","(i perioden "&amp;B23&amp;")"))</f>
        <v xml:space="preserve">Referenceperiode start dato </v>
      </c>
      <c r="B64" s="125" t="str">
        <f>IF(Ansøgning!B64="","",Ansøgning!B64)</f>
        <v>Vælg/Indtast</v>
      </c>
    </row>
    <row r="65" spans="1:2" x14ac:dyDescent="0.25">
      <c r="A65" s="26" t="str">
        <f>"Referenceperiode slut dato "&amp;IF($B$23="Institution stiftet efter 1. dec. 2019",IF(OR(B25="",B38=""),"","(i perioden "&amp;TEXT($B$24,"dd-mm-åååå")&amp;" til "&amp;TEXT($B$25,"dd-mm-åååå")&amp;")"),IF($B$23="Vælg/Indtast","","(i perioden "&amp;B23&amp;")"))</f>
        <v xml:space="preserve">Referenceperiode slut dato </v>
      </c>
      <c r="B65" s="125" t="str">
        <f>IF(Ansøgning!B65="","",Ansøgning!B65)</f>
        <v>Vælg/Indtast</v>
      </c>
    </row>
    <row r="66" spans="1:2" x14ac:dyDescent="0.25">
      <c r="A66" s="26"/>
      <c r="B66" s="72"/>
    </row>
    <row r="67" spans="1:2" x14ac:dyDescent="0.25">
      <c r="A67" s="26" t="str">
        <f>"Oplys realiserede faste omkostninger "&amp;"i perioden "&amp;IF(OR(B64="",B64="Vælg/Indtast"),"",TEXT(B64,"dd-mm-åååå")&amp;" til ")&amp;IF(OR(B65="",B65="Vælg/Indtast"),"",TEXT(B65,"dd-mm-åååå"))</f>
        <v xml:space="preserve">Oplys realiserede faste omkostninger i perioden </v>
      </c>
      <c r="B67" s="72"/>
    </row>
    <row r="68" spans="1:2" x14ac:dyDescent="0.25">
      <c r="A68" s="26"/>
      <c r="B68" s="72"/>
    </row>
    <row r="69" spans="1:2" x14ac:dyDescent="0.25">
      <c r="A69" s="103" t="s">
        <v>93</v>
      </c>
      <c r="B69" s="125" t="str">
        <f>IF(Ansøgning!B69="","",Ansøgning!B69)</f>
        <v>Indtast beløb</v>
      </c>
    </row>
    <row r="70" spans="1:2" x14ac:dyDescent="0.25">
      <c r="A70" s="104" t="s">
        <v>94</v>
      </c>
      <c r="B70" s="125" t="str">
        <f>IF(Ansøgning!B70="","",Ansøgning!B70)</f>
        <v>Indtast beløb</v>
      </c>
    </row>
    <row r="71" spans="1:2" x14ac:dyDescent="0.25">
      <c r="A71" s="104" t="s">
        <v>95</v>
      </c>
      <c r="B71" s="125" t="str">
        <f>IF(Ansøgning!B71="","",Ansøgning!B71)</f>
        <v>Indtast beløb</v>
      </c>
    </row>
    <row r="72" spans="1:2" x14ac:dyDescent="0.25">
      <c r="A72" s="104" t="s">
        <v>96</v>
      </c>
      <c r="B72" s="125" t="str">
        <f>IF(Ansøgning!B72="","",Ansøgning!B72)</f>
        <v>Indtast beløb</v>
      </c>
    </row>
    <row r="73" spans="1:2" x14ac:dyDescent="0.25">
      <c r="A73" s="104" t="s">
        <v>97</v>
      </c>
      <c r="B73" s="125" t="str">
        <f>IF(Ansøgning!B73="","",Ansøgning!B73)</f>
        <v>Indtast beløb</v>
      </c>
    </row>
    <row r="74" spans="1:2" x14ac:dyDescent="0.25">
      <c r="A74" s="104" t="s">
        <v>98</v>
      </c>
      <c r="B74" s="125" t="str">
        <f>IF(Ansøgning!B74="","",Ansøgning!B74)</f>
        <v>Indtast beløb</v>
      </c>
    </row>
    <row r="75" spans="1:2" x14ac:dyDescent="0.25">
      <c r="A75" s="104" t="s">
        <v>99</v>
      </c>
      <c r="B75" s="125" t="str">
        <f>IF(Ansøgning!B75="","",Ansøgning!B75)</f>
        <v>Indtast beløb</v>
      </c>
    </row>
    <row r="76" spans="1:2" x14ac:dyDescent="0.25">
      <c r="A76" s="105" t="s">
        <v>121</v>
      </c>
      <c r="B76" s="125" t="str">
        <f>IF(Ansøgning!B76="","",Ansøgning!B76)</f>
        <v>Indtast beløb</v>
      </c>
    </row>
    <row r="77" spans="1:2" x14ac:dyDescent="0.25">
      <c r="A77" s="104"/>
      <c r="B77" s="39"/>
    </row>
    <row r="78" spans="1:2" x14ac:dyDescent="0.25">
      <c r="A78" s="104" t="str">
        <f>"Realiserede faste omkostninger i forbudsreferenceperioden "&amp;IF(OR(B64="",B65="",B64="Vælg/Indtast",B65="Vælg/Indtast"),"",TEXT(B64,"dd-mm-åååå")&amp;" til "&amp;TEXT(B65,"dd-mm-åååå"))</f>
        <v xml:space="preserve">Realiserede faste omkostninger i forbudsreferenceperioden </v>
      </c>
      <c r="B78" s="39" t="str">
        <f>IF(SUM(B69:B76)=0,"",SUM(B69:B76))</f>
        <v/>
      </c>
    </row>
    <row r="79" spans="1:2" x14ac:dyDescent="0.25">
      <c r="A79" s="25" t="s">
        <v>135</v>
      </c>
      <c r="B79" s="21" t="str">
        <f>IFERROR(IF(ISNUMBER(B78),B78*(_xlfn.DAYS(B52,B51)+1)/(_xlfn.DAYS(B65,B64)+1),""),"")</f>
        <v/>
      </c>
    </row>
    <row r="80" spans="1:2" x14ac:dyDescent="0.25">
      <c r="A80" s="25" t="str">
        <f>"Forventede faste omkostninger i forbudskompensationsperioden "&amp;IF(OR(B51="Vælg/Indtast",B52="Vælg/Indtast"),"",TEXT(B51,"dd-mm-åååå")&amp;" til "&amp;TEXT(B52,"dd-mm-åååå"))</f>
        <v xml:space="preserve">Forventede faste omkostninger i forbudskompensationsperioden </v>
      </c>
      <c r="B80" s="125" t="str">
        <f>IF(Ansøgning!B80="","",Ansøgning!B80)</f>
        <v>Indtast beløb</v>
      </c>
    </row>
    <row r="81" spans="1:2" x14ac:dyDescent="0.25">
      <c r="A81" s="25" t="s">
        <v>14</v>
      </c>
      <c r="B81" s="14" t="str">
        <f>IFERROR(IF(AND(B79="",B80=""),"",(B80-B79)/B79),"")</f>
        <v/>
      </c>
    </row>
    <row r="82" spans="1:2" x14ac:dyDescent="0.25">
      <c r="A82" s="25" t="s">
        <v>15</v>
      </c>
      <c r="B82" s="72" t="str">
        <f>IFERROR(IF(ISNUMBER(B81),IF(ABS(B81)&gt;0.1,"Ansøger skal vedlægge et bilag, der forklarer, hvad afvigelsen skyldes, og hvorfor den ikke kunne afværges.",""),""),"")</f>
        <v/>
      </c>
    </row>
    <row r="83" spans="1:2" x14ac:dyDescent="0.25">
      <c r="A83" s="25"/>
      <c r="B83" s="25"/>
    </row>
    <row r="84" spans="1:2" x14ac:dyDescent="0.25">
      <c r="A84" s="26" t="s">
        <v>21</v>
      </c>
      <c r="B84" s="14" t="str">
        <f>IFERROR(IF(OR(B54="",B60=""),"",(B61-B54)/B61),"")</f>
        <v/>
      </c>
    </row>
    <row r="85" spans="1:2" x14ac:dyDescent="0.25">
      <c r="A85" s="26" t="s">
        <v>58</v>
      </c>
      <c r="B85" s="15" t="str">
        <f>IF(B84="","",IF(B54&gt;0,IF(AND(B84&gt;=0.8,B84&lt;=1),2,IF(AND(B84&gt;=0.6,B84&lt;0.8),3,IF(AND(B84&gt;=0.35,B84&lt;0.6),4,IF(B84&lt;0.35,"Omsætningsnedgangen opfylder ikke kravet om nedgang på minimum 35 pct.")))),IF(B54=0,1,"")))</f>
        <v/>
      </c>
    </row>
    <row r="86" spans="1:2" x14ac:dyDescent="0.25">
      <c r="A86" s="26" t="s">
        <v>59</v>
      </c>
      <c r="B86" s="14" t="str">
        <f>IF(B85="","",IF(B85=1,1,IF(B85=2,0.8,IF(B85=3,0.5,IF(B85=4,0.25,IF(B85="Omsætningsnedgangen opfylder ikke kravet om nedgang på minimum 35 pct.",0))))))</f>
        <v/>
      </c>
    </row>
    <row r="87" spans="1:2" x14ac:dyDescent="0.25">
      <c r="A87" s="26" t="s">
        <v>60</v>
      </c>
      <c r="B87" s="14" t="str">
        <f>IFERROR(IF(B60="","",B60/B59),"")</f>
        <v/>
      </c>
    </row>
    <row r="88" spans="1:2" x14ac:dyDescent="0.25">
      <c r="A88" s="96"/>
      <c r="B88" s="38"/>
    </row>
    <row r="89" spans="1:2" x14ac:dyDescent="0.25">
      <c r="A89" s="101" t="s">
        <v>74</v>
      </c>
      <c r="B89" s="16">
        <f>IFERROR(IF(B86="",0,B80*B87*B86),0)</f>
        <v>0</v>
      </c>
    </row>
    <row r="90" spans="1:2" x14ac:dyDescent="0.25">
      <c r="A90" s="17"/>
    </row>
    <row r="91" spans="1:2" x14ac:dyDescent="0.25">
      <c r="A91" s="101" t="s">
        <v>75</v>
      </c>
      <c r="B91" s="23">
        <f>IFERROR(MAX(IF(B48="","",IF(B39*B20/B19&lt;16666,"De faste omkostningers andel af de kommercielle indtægters andel af de samlede indtægter opfylder ikke kravet om at udgøre minimum 16.666 kr. i kompensationsperioden. Der kan derfor ikke udbetales kompensation.",IF(IF(B85="Omsætningsnedgangen opfylder ikke kravet om nedgang på minimum 35 pct.",B39*B112*B111,B48+B89)&gt;110000000,110000000,IF(IF(B85="Omsætningsnedgangen opfylder ikke kravet om nedgang på minimum 35 pct.",B39*B112*B111,B48+B89)&gt;IF(OR(B14&lt;&gt;"Institution stiftet efter 1. dec. 2019",B21=""),B20,B21)-B12,IF(OR(B14&lt;&gt;"Institution stiftet efter 1. dec. 2019",B21=""),B20,B21)-B12,IF(B85="Omsætningsnedgangen opfylder ikke kravet om nedgang på minimum 35 pct.",B39*B112*B111,B48+B89))))),0),0)</f>
        <v>0</v>
      </c>
    </row>
    <row r="92" spans="1:2" x14ac:dyDescent="0.25">
      <c r="A92" s="17"/>
    </row>
    <row r="93" spans="1:2" x14ac:dyDescent="0.25">
      <c r="A93" s="17" t="s">
        <v>45</v>
      </c>
    </row>
    <row r="94" spans="1:2" x14ac:dyDescent="0.25">
      <c r="A94" s="17"/>
    </row>
    <row r="95" spans="1:2" x14ac:dyDescent="0.25">
      <c r="A95" s="106" t="s">
        <v>42</v>
      </c>
      <c r="B95" s="125" t="str">
        <f>IF(Ansøgning!B95="","",Ansøgning!B95)</f>
        <v>Vælg/Indtast</v>
      </c>
    </row>
    <row r="96" spans="1:2" x14ac:dyDescent="0.25">
      <c r="A96" s="25" t="s">
        <v>43</v>
      </c>
      <c r="B96" s="125" t="str">
        <f>IF(Ansøgning!B96="","",Ansøgning!B96)</f>
        <v>Vælg/Indtast</v>
      </c>
    </row>
    <row r="97" spans="1:2" x14ac:dyDescent="0.25">
      <c r="A97" s="100" t="s">
        <v>61</v>
      </c>
      <c r="B97" s="125" t="str">
        <f>IF(Ansøgning!B97="","",Ansøgning!B97)</f>
        <v>Vælg/Indtast</v>
      </c>
    </row>
    <row r="98" spans="1:2" x14ac:dyDescent="0.25">
      <c r="A98" s="25" t="s">
        <v>44</v>
      </c>
      <c r="B98" s="125" t="str">
        <f>IF(Ansøgning!B98="","",Ansøgning!B98)</f>
        <v>Indtast beløb</v>
      </c>
    </row>
    <row r="99" spans="1:2" x14ac:dyDescent="0.25">
      <c r="A99" s="100" t="s">
        <v>87</v>
      </c>
      <c r="B99" s="125" t="str">
        <f>IF(Ansøgning!B99="","",Ansøgning!B99)</f>
        <v>Vælg/Indtast</v>
      </c>
    </row>
    <row r="100" spans="1:2" x14ac:dyDescent="0.25">
      <c r="A100" s="17"/>
    </row>
    <row r="101" spans="1:2" x14ac:dyDescent="0.25">
      <c r="A101" s="25" t="s">
        <v>23</v>
      </c>
      <c r="B101" s="21" t="str">
        <f>IF(OR(AND(B95="Ja",B96="Nej",B97="Nej",B98=""),AND(ISNUMBER(B98),B99="Vælg/Indtast")),"Det seneste resultat skal oplyses i celle B97 og perioden i celle B98.",IF(ISNUMBER(B98),IF(B99="Årsregnskab med balancedag den 28. februar 2019 eller senere",(1/3),IF(B99="Halvårsregnskab med balancedag den 31. august 2019 eller senere",(2/3),IF(B99="Budgetteret resultat for kompensationsperioden, hvis COVID-19 ikke var en realitet",1,IF(B99="Kvartalsregnskab med balancedag den 30. november 2019 eller senere",(4/3),IF(B99="Årets resultat for kalenderåret 2019",(1/3))))))*ABS(B98)*B111*B112,""))</f>
        <v/>
      </c>
    </row>
    <row r="102" spans="1:2" x14ac:dyDescent="0.25">
      <c r="A102" s="25" t="s">
        <v>63</v>
      </c>
      <c r="B102" s="14" t="str">
        <f>IF(ISNUMBER(B101),B101/B91,"")</f>
        <v/>
      </c>
    </row>
    <row r="103" spans="1:2" x14ac:dyDescent="0.25">
      <c r="A103" s="25" t="s">
        <v>122</v>
      </c>
      <c r="B103" s="125" t="str">
        <f>IF(Ansøgning!B103="","",Ansøgning!B103)</f>
        <v/>
      </c>
    </row>
    <row r="104" spans="1:2" x14ac:dyDescent="0.25">
      <c r="A104" s="25" t="s">
        <v>114</v>
      </c>
      <c r="B104" s="125" t="str">
        <f>IF(Ansøgning!B104="","",Ansøgning!B104)</f>
        <v/>
      </c>
    </row>
    <row r="105" spans="1:2" x14ac:dyDescent="0.25">
      <c r="A105" s="106"/>
      <c r="B105" s="69"/>
    </row>
    <row r="106" spans="1:2" ht="45" x14ac:dyDescent="0.25">
      <c r="A106" s="107" t="s">
        <v>127</v>
      </c>
      <c r="B106" s="69"/>
    </row>
    <row r="107" spans="1:2" hidden="1" x14ac:dyDescent="0.25">
      <c r="A107" s="25" t="s">
        <v>64</v>
      </c>
      <c r="B107" s="129" t="s">
        <v>7</v>
      </c>
    </row>
    <row r="108" spans="1:2" hidden="1" x14ac:dyDescent="0.25">
      <c r="A108" s="106"/>
      <c r="B108" s="69"/>
    </row>
    <row r="109" spans="1:2" hidden="1" x14ac:dyDescent="0.25">
      <c r="A109" s="108" t="s">
        <v>46</v>
      </c>
      <c r="B109" s="19" t="e">
        <f>IF(OR(B12="",B20=""),"",(IF(OR(B14&lt;&gt;"Institution stiftet efter 1. dec. 2019",B21=""),B20,B21)-B12)/IF(OR(B14&lt;&gt;"Institution stiftet efter 1. dec. 2019",B21=""),B20,B21))</f>
        <v>#VALUE!</v>
      </c>
    </row>
    <row r="110" spans="1:2" hidden="1" x14ac:dyDescent="0.25">
      <c r="A110" s="108" t="s">
        <v>47</v>
      </c>
      <c r="B110" s="20" t="e">
        <f>IF(B109="","",IF(OR($B$9="Ikke forbud",AND($B$9="Hele kompensationsperioden",$B$12&gt;0),$B$9="Dele af kompensationsperioden"),IF(AND(B109&gt;=0.8,B109&lt;=1),2,IF(AND(B109&gt;=0.6,B109&lt;8),3,IF(AND(B109&gt;=0.35,B109&lt;0.6),4,IF(B109&lt;0.35,"Omsætningsnedgangen opfylder ikke kravet om nedgang på minimum 35 pct.")))),IF(AND($B$9="Hele kompensationsperioden",$B$12=0),1)))</f>
        <v>#VALUE!</v>
      </c>
    </row>
    <row r="111" spans="1:2" hidden="1" x14ac:dyDescent="0.25">
      <c r="A111" s="108" t="s">
        <v>48</v>
      </c>
      <c r="B111" s="19" t="e">
        <f>IF(B110="","",IF(B110=1,1,IF(B110=2,0.8,IF(B110=3,0.5,IF(B110=4,0.25,IF(B110="Omsætningsnedgangen opfylder ikke kravet om nedgang på minimum 35 pct.",0))))))</f>
        <v>#VALUE!</v>
      </c>
    </row>
    <row r="112" spans="1:2" hidden="1" x14ac:dyDescent="0.25">
      <c r="A112" s="108" t="s">
        <v>49</v>
      </c>
      <c r="B112" s="19" t="e">
        <f>IF(B111="","",B20/B19)</f>
        <v>#VALUE!</v>
      </c>
    </row>
    <row r="113" spans="1:2" x14ac:dyDescent="0.25">
      <c r="A113" s="95"/>
      <c r="B113" s="70"/>
    </row>
    <row r="114" spans="1:2" x14ac:dyDescent="0.25">
      <c r="A114" s="17" t="s">
        <v>50</v>
      </c>
    </row>
    <row r="115" spans="1:2" x14ac:dyDescent="0.25">
      <c r="A115" s="17" t="s">
        <v>123</v>
      </c>
    </row>
    <row r="116" spans="1:2" x14ac:dyDescent="0.25">
      <c r="A116" s="17"/>
    </row>
    <row r="117" spans="1:2" x14ac:dyDescent="0.25">
      <c r="A117" s="109" t="s">
        <v>124</v>
      </c>
      <c r="B117" s="125" t="str">
        <f>IF(Ansøgning!B117="","",Ansøgning!B117)</f>
        <v>Indtast beløb</v>
      </c>
    </row>
    <row r="118" spans="1:2" x14ac:dyDescent="0.25">
      <c r="A118" s="110" t="s">
        <v>51</v>
      </c>
      <c r="B118" s="22">
        <f>IF(OR(ISTEXT(B91),B117="Indtast beløb"),0,IF(B117*0.8&gt;16000,16000,B117*0.8))</f>
        <v>0</v>
      </c>
    </row>
    <row r="119" spans="1:2" x14ac:dyDescent="0.25">
      <c r="A119" s="17"/>
    </row>
    <row r="120" spans="1:2" x14ac:dyDescent="0.25">
      <c r="A120" s="101" t="s">
        <v>62</v>
      </c>
      <c r="B120" s="23">
        <f>MAX(IF(ISNUMBER(B91),IF(B91-IF(ISNUMBER(B101),B101,0)&gt;0,IF(B101="",B91+B118,IF(B102&lt;0.5,B91+B118-B101,IF(B107="Nej",B91+B118-B101,IF(AND(B102&gt;0.5,B107="Ja"),B91*0.5+B118)))),0),0),0)</f>
        <v>0</v>
      </c>
    </row>
    <row r="122" spans="1:2" x14ac:dyDescent="0.25">
      <c r="A122" t="s">
        <v>136</v>
      </c>
      <c r="B122" s="17">
        <f>IF(Ansøgning!B120="","",Ansøgning!B120)</f>
        <v>0</v>
      </c>
    </row>
    <row r="123" spans="1:2" x14ac:dyDescent="0.25">
      <c r="A123" t="s">
        <v>125</v>
      </c>
      <c r="B123" s="70">
        <f>B122-B120</f>
        <v>0</v>
      </c>
    </row>
  </sheetData>
  <sheetProtection algorithmName="SHA-512" hashValue="pyk1sSO6Y95WdTj/W+cNfWKcVvmnLrmaq3SqcVtW6/hJoq4hB9bK4C+WyvwrgkSwQpk6pctr7QxBbt/rHH1xJw==" saltValue="WInxvhwNwfkJOw9wddllzg==" spinCount="100000" sheet="1" objects="1" scenarios="1" formatColumns="0"/>
  <conditionalFormatting sqref="A17">
    <cfRule type="expression" dxfId="39" priority="30">
      <formula>B14="Nystartet institution"</formula>
    </cfRule>
  </conditionalFormatting>
  <conditionalFormatting sqref="A40">
    <cfRule type="expression" dxfId="38" priority="34">
      <formula>B16="Nystartet institution"</formula>
    </cfRule>
  </conditionalFormatting>
  <conditionalFormatting sqref="B48:B49">
    <cfRule type="expression" dxfId="37" priority="35">
      <formula>B17="Nystartet institution"</formula>
    </cfRule>
  </conditionalFormatting>
  <conditionalFormatting sqref="A48:A49">
    <cfRule type="expression" dxfId="36" priority="36">
      <formula>B17="Nystartet institution"</formula>
    </cfRule>
  </conditionalFormatting>
  <conditionalFormatting sqref="B46:B47">
    <cfRule type="expression" dxfId="35" priority="37">
      <formula>B18="Nystartet institution"</formula>
    </cfRule>
  </conditionalFormatting>
  <conditionalFormatting sqref="A46:A47">
    <cfRule type="expression" dxfId="34" priority="38">
      <formula>B18="Nystartet institution"</formula>
    </cfRule>
  </conditionalFormatting>
  <conditionalFormatting sqref="B44:B45">
    <cfRule type="expression" dxfId="33" priority="39">
      <formula>B18="Nystartet institution"</formula>
    </cfRule>
  </conditionalFormatting>
  <conditionalFormatting sqref="A44:A45">
    <cfRule type="expression" dxfId="32" priority="40">
      <formula>B18="Nystartet institution"</formula>
    </cfRule>
  </conditionalFormatting>
  <conditionalFormatting sqref="B84">
    <cfRule type="expression" dxfId="31" priority="22">
      <formula>B54="Nystartet institution"</formula>
    </cfRule>
  </conditionalFormatting>
  <conditionalFormatting sqref="A84">
    <cfRule type="expression" dxfId="30" priority="23">
      <formula>B54="Nystartet institution"</formula>
    </cfRule>
  </conditionalFormatting>
  <conditionalFormatting sqref="B89">
    <cfRule type="expression" dxfId="29" priority="24">
      <formula>#REF!="Nystartet institution"</formula>
    </cfRule>
  </conditionalFormatting>
  <conditionalFormatting sqref="A89">
    <cfRule type="expression" dxfId="28" priority="25">
      <formula>#REF!="Nystartet institution"</formula>
    </cfRule>
  </conditionalFormatting>
  <conditionalFormatting sqref="B87:B88">
    <cfRule type="expression" dxfId="27" priority="26">
      <formula>B54="Nystartet institution"</formula>
    </cfRule>
  </conditionalFormatting>
  <conditionalFormatting sqref="A87:A88">
    <cfRule type="expression" dxfId="26" priority="27">
      <formula>B54="Nystartet institution"</formula>
    </cfRule>
  </conditionalFormatting>
  <conditionalFormatting sqref="B85:B86">
    <cfRule type="expression" dxfId="25" priority="28">
      <formula>B54="Nystartet institution"</formula>
    </cfRule>
  </conditionalFormatting>
  <conditionalFormatting sqref="A85:A86">
    <cfRule type="expression" dxfId="24" priority="29">
      <formula>B54="Nystartet institution"</formula>
    </cfRule>
  </conditionalFormatting>
  <conditionalFormatting sqref="A17:A18">
    <cfRule type="expression" dxfId="23" priority="20">
      <formula>$B$14="Institution stiftet efter 1. dec. 2019"</formula>
    </cfRule>
  </conditionalFormatting>
  <conditionalFormatting sqref="A38:A39">
    <cfRule type="expression" dxfId="22" priority="41">
      <formula>B18="Nystartet institution"</formula>
    </cfRule>
  </conditionalFormatting>
  <conditionalFormatting sqref="A25:B25 A37:B37 A24">
    <cfRule type="expression" dxfId="21" priority="19">
      <formula>$B$23="Institution stiftet efter 1. dec. 2019"</formula>
    </cfRule>
  </conditionalFormatting>
  <conditionalFormatting sqref="A82:B82">
    <cfRule type="expression" dxfId="20" priority="21">
      <formula>ABS($B$81)&gt;0.1</formula>
    </cfRule>
  </conditionalFormatting>
  <conditionalFormatting sqref="A15:A16">
    <cfRule type="expression" dxfId="19" priority="17">
      <formula>$B$14="Anden referenceperiode (kun ved særlige omstændigheder)"</formula>
    </cfRule>
  </conditionalFormatting>
  <conditionalFormatting sqref="A96">
    <cfRule type="expression" dxfId="18" priority="16">
      <formula>$B$95="Ja"</formula>
    </cfRule>
    <cfRule type="expression" dxfId="17" priority="18">
      <formula>$B$95="Ja"</formula>
    </cfRule>
  </conditionalFormatting>
  <conditionalFormatting sqref="A97">
    <cfRule type="expression" dxfId="16" priority="15">
      <formula>$B$96="Nej"</formula>
    </cfRule>
  </conditionalFormatting>
  <conditionalFormatting sqref="A98:A99">
    <cfRule type="expression" dxfId="15" priority="14">
      <formula>$B$97="Nej"</formula>
    </cfRule>
  </conditionalFormatting>
  <conditionalFormatting sqref="A109">
    <cfRule type="expression" dxfId="14" priority="11">
      <formula>B86="Nystartet institution"</formula>
    </cfRule>
  </conditionalFormatting>
  <conditionalFormatting sqref="A112">
    <cfRule type="expression" dxfId="13" priority="12">
      <formula>B86="Nystartet institution"</formula>
    </cfRule>
  </conditionalFormatting>
  <conditionalFormatting sqref="A110:A111">
    <cfRule type="expression" dxfId="12" priority="13">
      <formula>B86="Nystartet institution"</formula>
    </cfRule>
  </conditionalFormatting>
  <conditionalFormatting sqref="A101:B101">
    <cfRule type="expression" dxfId="11" priority="10">
      <formula>AND($B$95="Ja",$B$96="Nej",$B$97="Nej",$B$98="")</formula>
    </cfRule>
  </conditionalFormatting>
  <conditionalFormatting sqref="B102">
    <cfRule type="expression" dxfId="10" priority="9">
      <formula>AND(ISNUMBER($B$102),$B$102&gt;0.5)</formula>
    </cfRule>
  </conditionalFormatting>
  <conditionalFormatting sqref="A107:B107">
    <cfRule type="expression" dxfId="9" priority="8">
      <formula>AND(ISNUMBER($B$102),$B$102&gt;0.5)</formula>
    </cfRule>
  </conditionalFormatting>
  <conditionalFormatting sqref="A26:A28">
    <cfRule type="expression" dxfId="8" priority="7">
      <formula>B16="Nystartet institution"</formula>
    </cfRule>
  </conditionalFormatting>
  <conditionalFormatting sqref="A37">
    <cfRule type="expression" dxfId="7" priority="42">
      <formula>B21="Nystartet institution"</formula>
    </cfRule>
  </conditionalFormatting>
  <conditionalFormatting sqref="A103:A104">
    <cfRule type="expression" dxfId="6" priority="6">
      <formula>AND(ISNUMBER($B$102),$B$102&gt;0.5)</formula>
    </cfRule>
  </conditionalFormatting>
  <conditionalFormatting sqref="A50:B50 A62:B63 A68:B68 A80 A83:B83 A53:B53 A51:A52 A55:B56 A54 A57:A60 A66:B66 A64:A65 A77:B77 A69:A76">
    <cfRule type="expression" dxfId="5" priority="5">
      <formula>$B$9="Dele af kompensationsperioden"</formula>
    </cfRule>
  </conditionalFormatting>
  <conditionalFormatting sqref="A41:B41">
    <cfRule type="expression" dxfId="4" priority="4">
      <formula>ABS($B$40)&gt;0.1</formula>
    </cfRule>
  </conditionalFormatting>
  <conditionalFormatting sqref="B37">
    <cfRule type="expression" dxfId="3" priority="3">
      <formula>$B$37="Ansøger skal indsende en udspecificeret liste over de øvrige omkostninger."</formula>
    </cfRule>
  </conditionalFormatting>
  <conditionalFormatting sqref="C14">
    <cfRule type="expression" dxfId="2" priority="2">
      <formula>$B$14="Anden referenceperiode (kun ved særlige omstændigheder)"</formula>
    </cfRule>
  </conditionalFormatting>
  <conditionalFormatting sqref="B123">
    <cfRule type="expression" dxfId="1" priority="1">
      <formula>$B$123&lt;&gt;0</formula>
    </cfRule>
  </conditionalFormatting>
  <dataValidations disablePrompts="1" count="1">
    <dataValidation type="list" showInputMessage="1" showErrorMessage="1" sqref="B107">
      <formula1>FastholdeUdbetaling</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6"/>
  <sheetViews>
    <sheetView workbookViewId="0">
      <selection activeCell="C3" sqref="C3"/>
    </sheetView>
  </sheetViews>
  <sheetFormatPr defaultRowHeight="15" x14ac:dyDescent="0.25"/>
  <cols>
    <col min="1" max="1" width="20.28515625" bestFit="1" customWidth="1"/>
    <col min="3" max="3" width="14.28515625" bestFit="1" customWidth="1"/>
    <col min="5" max="5" width="22.140625" bestFit="1" customWidth="1"/>
    <col min="7" max="7" width="21.42578125" bestFit="1" customWidth="1"/>
    <col min="9" max="9" width="51.28515625" bestFit="1" customWidth="1"/>
    <col min="11" max="11" width="27.7109375" bestFit="1" customWidth="1"/>
    <col min="13" max="13" width="35.5703125" bestFit="1" customWidth="1"/>
  </cols>
  <sheetData>
    <row r="1" spans="1:13" x14ac:dyDescent="0.25">
      <c r="A1" s="3" t="s">
        <v>1</v>
      </c>
      <c r="B1" s="3"/>
      <c r="C1" s="3" t="s">
        <v>4</v>
      </c>
      <c r="D1" s="3"/>
      <c r="E1" s="3" t="s">
        <v>5</v>
      </c>
      <c r="F1" s="3"/>
      <c r="G1" s="3" t="s">
        <v>12</v>
      </c>
      <c r="H1" s="3"/>
      <c r="I1" s="3" t="s">
        <v>54</v>
      </c>
      <c r="J1" s="3"/>
      <c r="K1" s="3" t="s">
        <v>6</v>
      </c>
      <c r="M1" s="3" t="s">
        <v>25</v>
      </c>
    </row>
    <row r="2" spans="1:13" x14ac:dyDescent="0.25">
      <c r="A2" s="13" t="s">
        <v>7</v>
      </c>
      <c r="C2" t="s">
        <v>7</v>
      </c>
      <c r="E2" t="s">
        <v>7</v>
      </c>
      <c r="G2" t="s">
        <v>7</v>
      </c>
      <c r="I2" t="s">
        <v>7</v>
      </c>
      <c r="K2" t="s">
        <v>7</v>
      </c>
      <c r="M2" t="s">
        <v>7</v>
      </c>
    </row>
    <row r="3" spans="1:13" x14ac:dyDescent="0.25">
      <c r="A3" s="4">
        <v>43899</v>
      </c>
      <c r="C3" s="4">
        <v>43899</v>
      </c>
      <c r="E3" s="4">
        <v>43800</v>
      </c>
      <c r="G3" s="4">
        <v>43556</v>
      </c>
      <c r="I3" t="s">
        <v>67</v>
      </c>
      <c r="K3" t="s">
        <v>8</v>
      </c>
      <c r="M3" t="s">
        <v>13</v>
      </c>
    </row>
    <row r="4" spans="1:13" x14ac:dyDescent="0.25">
      <c r="A4" s="4">
        <v>43900</v>
      </c>
      <c r="C4" s="4">
        <v>43900</v>
      </c>
      <c r="E4" s="4">
        <v>43801</v>
      </c>
      <c r="G4" s="4">
        <v>43557</v>
      </c>
      <c r="I4" t="s">
        <v>13</v>
      </c>
      <c r="K4" t="s">
        <v>9</v>
      </c>
      <c r="M4" t="s">
        <v>26</v>
      </c>
    </row>
    <row r="5" spans="1:13" x14ac:dyDescent="0.25">
      <c r="A5" s="4">
        <v>43901</v>
      </c>
      <c r="C5" s="4">
        <v>43901</v>
      </c>
      <c r="E5" s="4">
        <v>43802</v>
      </c>
      <c r="G5" s="4">
        <v>43558</v>
      </c>
      <c r="I5" t="s">
        <v>36</v>
      </c>
      <c r="K5" t="s">
        <v>10</v>
      </c>
    </row>
    <row r="6" spans="1:13" x14ac:dyDescent="0.25">
      <c r="A6" s="4">
        <v>43902</v>
      </c>
      <c r="C6" s="4">
        <v>43902</v>
      </c>
      <c r="E6" s="4">
        <v>43803</v>
      </c>
      <c r="G6" s="4">
        <v>43559</v>
      </c>
      <c r="I6" t="s">
        <v>26</v>
      </c>
    </row>
    <row r="7" spans="1:13" x14ac:dyDescent="0.25">
      <c r="A7" s="4">
        <v>43903</v>
      </c>
      <c r="C7" s="4">
        <v>43903</v>
      </c>
      <c r="E7" s="4">
        <v>43804</v>
      </c>
      <c r="G7" s="4">
        <v>43560</v>
      </c>
    </row>
    <row r="8" spans="1:13" x14ac:dyDescent="0.25">
      <c r="A8" s="4">
        <v>43904</v>
      </c>
      <c r="C8" s="4">
        <v>43904</v>
      </c>
      <c r="E8" s="4">
        <v>43805</v>
      </c>
      <c r="G8" s="4">
        <v>43561</v>
      </c>
    </row>
    <row r="9" spans="1:13" x14ac:dyDescent="0.25">
      <c r="A9" s="4">
        <v>43905</v>
      </c>
      <c r="C9" s="4">
        <v>43905</v>
      </c>
      <c r="E9" s="4">
        <v>43806</v>
      </c>
      <c r="G9" s="4">
        <v>43562</v>
      </c>
      <c r="I9" s="3" t="s">
        <v>22</v>
      </c>
    </row>
    <row r="10" spans="1:13" x14ac:dyDescent="0.25">
      <c r="A10" s="4">
        <v>43906</v>
      </c>
      <c r="C10" s="4">
        <v>43906</v>
      </c>
      <c r="E10" s="4">
        <v>43807</v>
      </c>
      <c r="G10" s="4">
        <v>43563</v>
      </c>
      <c r="I10" t="s">
        <v>7</v>
      </c>
      <c r="K10" t="s">
        <v>16</v>
      </c>
    </row>
    <row r="11" spans="1:13" x14ac:dyDescent="0.25">
      <c r="A11" s="4">
        <v>43907</v>
      </c>
      <c r="C11" s="4">
        <v>43907</v>
      </c>
      <c r="E11" s="4">
        <v>43808</v>
      </c>
      <c r="G11" s="4">
        <v>43564</v>
      </c>
      <c r="I11" t="s">
        <v>33</v>
      </c>
    </row>
    <row r="12" spans="1:13" x14ac:dyDescent="0.25">
      <c r="A12" s="4">
        <v>43908</v>
      </c>
      <c r="C12" s="4">
        <v>43908</v>
      </c>
      <c r="E12" s="4">
        <v>43809</v>
      </c>
      <c r="G12" s="4">
        <v>43565</v>
      </c>
      <c r="I12" t="s">
        <v>34</v>
      </c>
    </row>
    <row r="13" spans="1:13" x14ac:dyDescent="0.25">
      <c r="A13" s="4">
        <v>43909</v>
      </c>
      <c r="C13" s="4">
        <v>43909</v>
      </c>
      <c r="E13" s="4">
        <v>43810</v>
      </c>
      <c r="G13" s="4">
        <v>43566</v>
      </c>
    </row>
    <row r="14" spans="1:13" x14ac:dyDescent="0.25">
      <c r="A14" s="4">
        <v>43910</v>
      </c>
      <c r="C14" s="4">
        <v>43910</v>
      </c>
      <c r="E14" s="4">
        <v>43811</v>
      </c>
      <c r="G14" s="4">
        <v>43567</v>
      </c>
      <c r="I14" s="3" t="s">
        <v>65</v>
      </c>
    </row>
    <row r="15" spans="1:13" x14ac:dyDescent="0.25">
      <c r="A15" s="4">
        <v>43911</v>
      </c>
      <c r="C15" s="4">
        <v>43911</v>
      </c>
      <c r="E15" s="4">
        <v>43812</v>
      </c>
      <c r="G15" s="4">
        <v>43568</v>
      </c>
      <c r="I15" t="s">
        <v>7</v>
      </c>
    </row>
    <row r="16" spans="1:13" x14ac:dyDescent="0.25">
      <c r="A16" s="4">
        <v>43912</v>
      </c>
      <c r="C16" s="4">
        <v>43912</v>
      </c>
      <c r="E16" s="4">
        <v>43813</v>
      </c>
      <c r="G16" s="4">
        <v>43569</v>
      </c>
      <c r="I16" t="s">
        <v>33</v>
      </c>
    </row>
    <row r="17" spans="1:9" x14ac:dyDescent="0.25">
      <c r="A17" s="4">
        <v>43913</v>
      </c>
      <c r="C17" s="4">
        <v>43913</v>
      </c>
      <c r="E17" s="4">
        <v>43814</v>
      </c>
      <c r="G17" s="4">
        <v>43570</v>
      </c>
      <c r="I17" t="s">
        <v>34</v>
      </c>
    </row>
    <row r="18" spans="1:9" x14ac:dyDescent="0.25">
      <c r="A18" s="4">
        <v>43914</v>
      </c>
      <c r="C18" s="4">
        <v>43914</v>
      </c>
      <c r="E18" s="4">
        <v>43815</v>
      </c>
      <c r="G18" s="4">
        <v>43571</v>
      </c>
    </row>
    <row r="19" spans="1:9" x14ac:dyDescent="0.25">
      <c r="A19" s="4">
        <v>43915</v>
      </c>
      <c r="C19" s="4">
        <v>43915</v>
      </c>
      <c r="E19" s="4">
        <v>43816</v>
      </c>
      <c r="G19" s="4">
        <v>43572</v>
      </c>
      <c r="I19" s="3" t="s">
        <v>88</v>
      </c>
    </row>
    <row r="20" spans="1:9" x14ac:dyDescent="0.25">
      <c r="A20" s="4">
        <v>43916</v>
      </c>
      <c r="C20" s="4">
        <v>43916</v>
      </c>
      <c r="E20" s="4">
        <v>43817</v>
      </c>
      <c r="G20" s="4">
        <v>43573</v>
      </c>
      <c r="I20" t="s">
        <v>7</v>
      </c>
    </row>
    <row r="21" spans="1:9" x14ac:dyDescent="0.25">
      <c r="A21" s="4">
        <v>43917</v>
      </c>
      <c r="C21" s="4">
        <v>43917</v>
      </c>
      <c r="E21" s="4">
        <v>43818</v>
      </c>
      <c r="G21" s="4">
        <v>43574</v>
      </c>
      <c r="I21" t="s">
        <v>89</v>
      </c>
    </row>
    <row r="22" spans="1:9" x14ac:dyDescent="0.25">
      <c r="A22" s="4">
        <v>43918</v>
      </c>
      <c r="C22" s="4">
        <v>43918</v>
      </c>
      <c r="E22" s="4">
        <v>43819</v>
      </c>
      <c r="G22" s="4">
        <v>43575</v>
      </c>
      <c r="I22" t="s">
        <v>91</v>
      </c>
    </row>
    <row r="23" spans="1:9" x14ac:dyDescent="0.25">
      <c r="A23" s="4">
        <v>43919</v>
      </c>
      <c r="C23" s="4">
        <v>43919</v>
      </c>
      <c r="E23" s="4">
        <v>43820</v>
      </c>
      <c r="G23" s="4">
        <v>43576</v>
      </c>
      <c r="I23" t="s">
        <v>92</v>
      </c>
    </row>
    <row r="24" spans="1:9" x14ac:dyDescent="0.25">
      <c r="A24" s="4">
        <v>43920</v>
      </c>
      <c r="C24" s="4">
        <v>43920</v>
      </c>
      <c r="E24" s="4">
        <v>43821</v>
      </c>
      <c r="G24" s="4">
        <v>43577</v>
      </c>
      <c r="I24" t="s">
        <v>90</v>
      </c>
    </row>
    <row r="25" spans="1:9" x14ac:dyDescent="0.25">
      <c r="A25" s="4">
        <v>43921</v>
      </c>
      <c r="C25" s="4">
        <v>43921</v>
      </c>
      <c r="E25" s="4">
        <v>43822</v>
      </c>
      <c r="G25" s="4">
        <v>43578</v>
      </c>
      <c r="I25" t="s">
        <v>132</v>
      </c>
    </row>
    <row r="26" spans="1:9" x14ac:dyDescent="0.25">
      <c r="A26" s="4">
        <v>43922</v>
      </c>
      <c r="C26" s="4">
        <v>43922</v>
      </c>
      <c r="E26" s="4">
        <v>43823</v>
      </c>
      <c r="G26" s="4">
        <v>43579</v>
      </c>
    </row>
    <row r="27" spans="1:9" x14ac:dyDescent="0.25">
      <c r="A27" s="4">
        <v>43923</v>
      </c>
      <c r="C27" s="4">
        <v>43923</v>
      </c>
      <c r="E27" s="4">
        <v>43824</v>
      </c>
      <c r="G27" s="4">
        <v>43580</v>
      </c>
    </row>
    <row r="28" spans="1:9" x14ac:dyDescent="0.25">
      <c r="A28" s="4">
        <v>43924</v>
      </c>
      <c r="C28" s="4">
        <v>43924</v>
      </c>
      <c r="E28" s="4">
        <v>43825</v>
      </c>
      <c r="G28" s="4">
        <v>43581</v>
      </c>
    </row>
    <row r="29" spans="1:9" x14ac:dyDescent="0.25">
      <c r="A29" s="4">
        <v>43925</v>
      </c>
      <c r="C29" s="4">
        <v>43925</v>
      </c>
      <c r="E29" s="4">
        <v>43826</v>
      </c>
      <c r="G29" s="4">
        <v>43582</v>
      </c>
    </row>
    <row r="30" spans="1:9" x14ac:dyDescent="0.25">
      <c r="A30" s="4">
        <v>43926</v>
      </c>
      <c r="C30" s="4">
        <v>43926</v>
      </c>
      <c r="E30" s="4">
        <v>43827</v>
      </c>
      <c r="G30" s="4">
        <v>43583</v>
      </c>
    </row>
    <row r="31" spans="1:9" x14ac:dyDescent="0.25">
      <c r="A31" s="4">
        <v>43927</v>
      </c>
      <c r="C31" s="4">
        <v>43927</v>
      </c>
      <c r="E31" s="4">
        <v>43828</v>
      </c>
      <c r="G31" s="4">
        <v>43584</v>
      </c>
    </row>
    <row r="32" spans="1:9" x14ac:dyDescent="0.25">
      <c r="A32" s="4">
        <v>43928</v>
      </c>
      <c r="C32" s="4">
        <v>43928</v>
      </c>
      <c r="E32" s="4">
        <v>43829</v>
      </c>
      <c r="G32" s="4">
        <v>43585</v>
      </c>
    </row>
    <row r="33" spans="1:7" x14ac:dyDescent="0.25">
      <c r="A33" s="4">
        <v>43929</v>
      </c>
      <c r="C33" s="4">
        <v>43929</v>
      </c>
      <c r="E33" s="4">
        <v>43830</v>
      </c>
      <c r="G33" s="4">
        <v>43586</v>
      </c>
    </row>
    <row r="34" spans="1:7" x14ac:dyDescent="0.25">
      <c r="A34" s="4">
        <v>43930</v>
      </c>
      <c r="C34" s="4">
        <v>43930</v>
      </c>
      <c r="E34" s="4">
        <v>43831</v>
      </c>
      <c r="G34" s="4">
        <v>43587</v>
      </c>
    </row>
    <row r="35" spans="1:7" x14ac:dyDescent="0.25">
      <c r="A35" s="4">
        <v>43931</v>
      </c>
      <c r="C35" s="4">
        <v>43931</v>
      </c>
      <c r="E35" s="4">
        <v>43832</v>
      </c>
      <c r="G35" s="4">
        <v>43588</v>
      </c>
    </row>
    <row r="36" spans="1:7" x14ac:dyDescent="0.25">
      <c r="A36" s="4">
        <v>43932</v>
      </c>
      <c r="C36" s="4">
        <v>43932</v>
      </c>
      <c r="E36" s="4">
        <v>43833</v>
      </c>
      <c r="G36" s="4">
        <v>43589</v>
      </c>
    </row>
    <row r="37" spans="1:7" x14ac:dyDescent="0.25">
      <c r="A37" s="4">
        <v>43933</v>
      </c>
      <c r="C37" s="4">
        <v>43933</v>
      </c>
      <c r="E37" s="4">
        <v>43834</v>
      </c>
      <c r="G37" s="4">
        <v>43590</v>
      </c>
    </row>
    <row r="38" spans="1:7" x14ac:dyDescent="0.25">
      <c r="A38" s="4">
        <v>43934</v>
      </c>
      <c r="C38" s="4">
        <v>43934</v>
      </c>
      <c r="E38" s="4">
        <v>43835</v>
      </c>
      <c r="G38" s="4">
        <v>43591</v>
      </c>
    </row>
    <row r="39" spans="1:7" x14ac:dyDescent="0.25">
      <c r="A39" s="4">
        <v>43935</v>
      </c>
      <c r="C39" s="4">
        <v>43935</v>
      </c>
      <c r="E39" s="4">
        <v>43836</v>
      </c>
      <c r="G39" s="4">
        <v>43592</v>
      </c>
    </row>
    <row r="40" spans="1:7" x14ac:dyDescent="0.25">
      <c r="A40" s="4">
        <v>43936</v>
      </c>
      <c r="C40" s="4">
        <v>43936</v>
      </c>
      <c r="E40" s="4">
        <v>43837</v>
      </c>
      <c r="G40" s="4">
        <v>43593</v>
      </c>
    </row>
    <row r="41" spans="1:7" x14ac:dyDescent="0.25">
      <c r="A41" s="4">
        <v>43937</v>
      </c>
      <c r="C41" s="4">
        <v>43937</v>
      </c>
      <c r="E41" s="4">
        <v>43838</v>
      </c>
      <c r="G41" s="4">
        <v>43594</v>
      </c>
    </row>
    <row r="42" spans="1:7" x14ac:dyDescent="0.25">
      <c r="A42" s="4">
        <v>43938</v>
      </c>
      <c r="C42" s="4">
        <v>43938</v>
      </c>
      <c r="E42" s="4">
        <v>43839</v>
      </c>
      <c r="G42" s="4">
        <v>43595</v>
      </c>
    </row>
    <row r="43" spans="1:7" x14ac:dyDescent="0.25">
      <c r="A43" s="4">
        <v>43939</v>
      </c>
      <c r="C43" s="4">
        <v>43939</v>
      </c>
      <c r="E43" s="4">
        <v>43840</v>
      </c>
      <c r="G43" s="4">
        <v>43596</v>
      </c>
    </row>
    <row r="44" spans="1:7" x14ac:dyDescent="0.25">
      <c r="A44" s="4">
        <v>43940</v>
      </c>
      <c r="C44" s="4">
        <v>43940</v>
      </c>
      <c r="E44" s="4">
        <v>43841</v>
      </c>
      <c r="G44" s="4">
        <v>43597</v>
      </c>
    </row>
    <row r="45" spans="1:7" x14ac:dyDescent="0.25">
      <c r="A45" s="4">
        <v>43941</v>
      </c>
      <c r="C45" s="4">
        <v>43941</v>
      </c>
      <c r="E45" s="4">
        <v>43842</v>
      </c>
      <c r="G45" s="4">
        <v>43598</v>
      </c>
    </row>
    <row r="46" spans="1:7" x14ac:dyDescent="0.25">
      <c r="A46" s="4">
        <v>43942</v>
      </c>
      <c r="C46" s="4">
        <v>43942</v>
      </c>
      <c r="E46" s="4">
        <v>43843</v>
      </c>
      <c r="G46" s="4">
        <v>43599</v>
      </c>
    </row>
    <row r="47" spans="1:7" x14ac:dyDescent="0.25">
      <c r="A47" s="4">
        <v>43943</v>
      </c>
      <c r="C47" s="4">
        <v>43943</v>
      </c>
      <c r="E47" s="4">
        <v>43844</v>
      </c>
      <c r="G47" s="4">
        <v>43600</v>
      </c>
    </row>
    <row r="48" spans="1:7" x14ac:dyDescent="0.25">
      <c r="A48" s="4">
        <v>43944</v>
      </c>
      <c r="C48" s="4">
        <v>43944</v>
      </c>
      <c r="E48" s="4">
        <v>43845</v>
      </c>
      <c r="G48" s="4">
        <v>43601</v>
      </c>
    </row>
    <row r="49" spans="1:7" x14ac:dyDescent="0.25">
      <c r="A49" s="4">
        <v>43945</v>
      </c>
      <c r="C49" s="4">
        <v>43945</v>
      </c>
      <c r="E49" s="4">
        <v>43846</v>
      </c>
      <c r="G49" s="4">
        <v>43602</v>
      </c>
    </row>
    <row r="50" spans="1:7" x14ac:dyDescent="0.25">
      <c r="A50" s="4">
        <v>43946</v>
      </c>
      <c r="C50" s="4">
        <v>43946</v>
      </c>
      <c r="E50" s="4">
        <v>43847</v>
      </c>
      <c r="G50" s="4">
        <v>43603</v>
      </c>
    </row>
    <row r="51" spans="1:7" x14ac:dyDescent="0.25">
      <c r="A51" s="4">
        <v>43947</v>
      </c>
      <c r="C51" s="4">
        <v>43947</v>
      </c>
      <c r="E51" s="4">
        <v>43848</v>
      </c>
      <c r="G51" s="4">
        <v>43604</v>
      </c>
    </row>
    <row r="52" spans="1:7" x14ac:dyDescent="0.25">
      <c r="A52" s="4">
        <v>43948</v>
      </c>
      <c r="C52" s="4">
        <v>43948</v>
      </c>
      <c r="E52" s="4">
        <v>43849</v>
      </c>
      <c r="G52" s="4">
        <v>43605</v>
      </c>
    </row>
    <row r="53" spans="1:7" x14ac:dyDescent="0.25">
      <c r="A53" s="4">
        <v>43949</v>
      </c>
      <c r="C53" s="4">
        <v>43949</v>
      </c>
      <c r="E53" s="4">
        <v>43850</v>
      </c>
      <c r="G53" s="4">
        <v>43606</v>
      </c>
    </row>
    <row r="54" spans="1:7" x14ac:dyDescent="0.25">
      <c r="A54" s="4">
        <v>43950</v>
      </c>
      <c r="C54" s="4">
        <v>43950</v>
      </c>
      <c r="E54" s="4">
        <v>43851</v>
      </c>
      <c r="G54" s="4">
        <v>43607</v>
      </c>
    </row>
    <row r="55" spans="1:7" x14ac:dyDescent="0.25">
      <c r="A55" s="4">
        <v>43951</v>
      </c>
      <c r="C55" s="4">
        <v>43951</v>
      </c>
      <c r="E55" s="4">
        <v>43852</v>
      </c>
      <c r="G55" s="4">
        <v>43608</v>
      </c>
    </row>
    <row r="56" spans="1:7" x14ac:dyDescent="0.25">
      <c r="A56" s="4">
        <v>43952</v>
      </c>
      <c r="C56" s="4">
        <v>43952</v>
      </c>
      <c r="E56" s="4">
        <v>43853</v>
      </c>
      <c r="G56" s="4">
        <v>43609</v>
      </c>
    </row>
    <row r="57" spans="1:7" x14ac:dyDescent="0.25">
      <c r="A57" s="4">
        <v>43953</v>
      </c>
      <c r="C57" s="4">
        <v>43953</v>
      </c>
      <c r="E57" s="4">
        <v>43854</v>
      </c>
      <c r="G57" s="4">
        <v>43610</v>
      </c>
    </row>
    <row r="58" spans="1:7" x14ac:dyDescent="0.25">
      <c r="A58" s="4">
        <v>43954</v>
      </c>
      <c r="C58" s="4">
        <v>43954</v>
      </c>
      <c r="E58" s="4">
        <v>43855</v>
      </c>
      <c r="G58" s="4">
        <v>43611</v>
      </c>
    </row>
    <row r="59" spans="1:7" x14ac:dyDescent="0.25">
      <c r="A59" s="4">
        <v>43955</v>
      </c>
      <c r="C59" s="4">
        <v>43955</v>
      </c>
      <c r="E59" s="4">
        <v>43856</v>
      </c>
      <c r="G59" s="4">
        <v>43612</v>
      </c>
    </row>
    <row r="60" spans="1:7" x14ac:dyDescent="0.25">
      <c r="A60" s="4">
        <v>43956</v>
      </c>
      <c r="C60" s="4">
        <v>43956</v>
      </c>
      <c r="E60" s="4">
        <v>43857</v>
      </c>
      <c r="G60" s="4">
        <v>43613</v>
      </c>
    </row>
    <row r="61" spans="1:7" x14ac:dyDescent="0.25">
      <c r="A61" s="4">
        <v>43957</v>
      </c>
      <c r="C61" s="4">
        <v>43957</v>
      </c>
      <c r="E61" s="4">
        <v>43858</v>
      </c>
      <c r="G61" s="4">
        <v>43614</v>
      </c>
    </row>
    <row r="62" spans="1:7" x14ac:dyDescent="0.25">
      <c r="A62" s="4">
        <v>43958</v>
      </c>
      <c r="C62" s="4">
        <v>43958</v>
      </c>
      <c r="E62" s="4">
        <v>43859</v>
      </c>
      <c r="G62" s="4">
        <v>43615</v>
      </c>
    </row>
    <row r="63" spans="1:7" x14ac:dyDescent="0.25">
      <c r="A63" s="4">
        <v>43959</v>
      </c>
      <c r="C63" s="4">
        <v>43959</v>
      </c>
      <c r="E63" s="4">
        <v>43860</v>
      </c>
      <c r="G63" s="4">
        <v>43616</v>
      </c>
    </row>
    <row r="64" spans="1:7" x14ac:dyDescent="0.25">
      <c r="A64" s="4">
        <v>43960</v>
      </c>
      <c r="C64" s="4">
        <v>43960</v>
      </c>
      <c r="E64" s="4">
        <v>43861</v>
      </c>
      <c r="G64" s="4">
        <v>43617</v>
      </c>
    </row>
    <row r="65" spans="1:7" x14ac:dyDescent="0.25">
      <c r="A65" s="4">
        <v>43961</v>
      </c>
      <c r="C65" s="4">
        <v>43961</v>
      </c>
      <c r="E65" s="4">
        <v>43862</v>
      </c>
      <c r="G65" s="4">
        <v>43618</v>
      </c>
    </row>
    <row r="66" spans="1:7" x14ac:dyDescent="0.25">
      <c r="A66" s="4">
        <v>43962</v>
      </c>
      <c r="C66" s="4">
        <v>43962</v>
      </c>
      <c r="E66" s="4">
        <v>43863</v>
      </c>
      <c r="G66" s="4">
        <v>43619</v>
      </c>
    </row>
    <row r="67" spans="1:7" x14ac:dyDescent="0.25">
      <c r="A67" s="4">
        <v>43963</v>
      </c>
      <c r="C67" s="4">
        <v>43963</v>
      </c>
      <c r="E67" s="4">
        <v>43864</v>
      </c>
      <c r="G67" s="4">
        <v>43620</v>
      </c>
    </row>
    <row r="68" spans="1:7" x14ac:dyDescent="0.25">
      <c r="A68" s="4">
        <v>43964</v>
      </c>
      <c r="C68" s="4">
        <v>43964</v>
      </c>
      <c r="E68" s="4">
        <v>43865</v>
      </c>
      <c r="G68" s="4">
        <v>43621</v>
      </c>
    </row>
    <row r="69" spans="1:7" x14ac:dyDescent="0.25">
      <c r="A69" s="4">
        <v>43965</v>
      </c>
      <c r="C69" s="4">
        <v>43965</v>
      </c>
      <c r="E69" s="4">
        <v>43866</v>
      </c>
      <c r="G69" s="4">
        <v>43622</v>
      </c>
    </row>
    <row r="70" spans="1:7" x14ac:dyDescent="0.25">
      <c r="A70" s="4">
        <v>43966</v>
      </c>
      <c r="C70" s="4">
        <v>43966</v>
      </c>
      <c r="E70" s="4">
        <v>43867</v>
      </c>
      <c r="G70" s="4">
        <v>43623</v>
      </c>
    </row>
    <row r="71" spans="1:7" x14ac:dyDescent="0.25">
      <c r="A71" s="4">
        <v>43967</v>
      </c>
      <c r="C71" s="4">
        <v>43967</v>
      </c>
      <c r="E71" s="4">
        <v>43868</v>
      </c>
      <c r="G71" s="4">
        <v>43624</v>
      </c>
    </row>
    <row r="72" spans="1:7" x14ac:dyDescent="0.25">
      <c r="A72" s="4">
        <v>43968</v>
      </c>
      <c r="C72" s="4">
        <v>43968</v>
      </c>
      <c r="E72" s="4">
        <v>43869</v>
      </c>
      <c r="G72" s="4">
        <v>43625</v>
      </c>
    </row>
    <row r="73" spans="1:7" x14ac:dyDescent="0.25">
      <c r="A73" s="4">
        <v>43969</v>
      </c>
      <c r="C73" s="4">
        <v>43969</v>
      </c>
      <c r="E73" s="4">
        <v>43870</v>
      </c>
      <c r="G73" s="4">
        <v>43626</v>
      </c>
    </row>
    <row r="74" spans="1:7" x14ac:dyDescent="0.25">
      <c r="A74" s="4">
        <v>43970</v>
      </c>
      <c r="C74" s="4">
        <v>43970</v>
      </c>
      <c r="E74" s="4">
        <v>43871</v>
      </c>
      <c r="G74" s="4">
        <v>43627</v>
      </c>
    </row>
    <row r="75" spans="1:7" x14ac:dyDescent="0.25">
      <c r="A75" s="4">
        <v>43971</v>
      </c>
      <c r="C75" s="4">
        <v>43971</v>
      </c>
      <c r="E75" s="4">
        <v>43872</v>
      </c>
      <c r="G75" s="4">
        <v>43628</v>
      </c>
    </row>
    <row r="76" spans="1:7" x14ac:dyDescent="0.25">
      <c r="A76" s="4">
        <v>43972</v>
      </c>
      <c r="C76" s="4">
        <v>43972</v>
      </c>
      <c r="E76" s="4">
        <v>43873</v>
      </c>
      <c r="G76" s="4">
        <v>43629</v>
      </c>
    </row>
    <row r="77" spans="1:7" x14ac:dyDescent="0.25">
      <c r="A77" s="4">
        <v>43973</v>
      </c>
      <c r="C77" s="4">
        <v>43973</v>
      </c>
      <c r="E77" s="4">
        <v>43874</v>
      </c>
      <c r="G77" s="4">
        <v>43630</v>
      </c>
    </row>
    <row r="78" spans="1:7" x14ac:dyDescent="0.25">
      <c r="A78" s="4">
        <v>43974</v>
      </c>
      <c r="C78" s="4">
        <v>43974</v>
      </c>
      <c r="E78" s="4">
        <v>43875</v>
      </c>
      <c r="G78" s="4">
        <v>43631</v>
      </c>
    </row>
    <row r="79" spans="1:7" x14ac:dyDescent="0.25">
      <c r="A79" s="4">
        <v>43975</v>
      </c>
      <c r="C79" s="4">
        <v>43975</v>
      </c>
      <c r="E79" s="4">
        <v>43876</v>
      </c>
      <c r="G79" s="4">
        <v>43632</v>
      </c>
    </row>
    <row r="80" spans="1:7" x14ac:dyDescent="0.25">
      <c r="A80" s="4">
        <v>43976</v>
      </c>
      <c r="C80" s="4">
        <v>43976</v>
      </c>
      <c r="E80" s="4">
        <v>43877</v>
      </c>
      <c r="G80" s="4">
        <v>43633</v>
      </c>
    </row>
    <row r="81" spans="1:7" x14ac:dyDescent="0.25">
      <c r="A81" s="4">
        <v>43977</v>
      </c>
      <c r="C81" s="4">
        <v>43977</v>
      </c>
      <c r="E81" s="4">
        <v>43878</v>
      </c>
      <c r="G81" s="4">
        <v>43634</v>
      </c>
    </row>
    <row r="82" spans="1:7" x14ac:dyDescent="0.25">
      <c r="A82" s="4">
        <v>43978</v>
      </c>
      <c r="C82" s="4">
        <v>43978</v>
      </c>
      <c r="E82" s="4">
        <v>43879</v>
      </c>
      <c r="G82" s="4">
        <v>43635</v>
      </c>
    </row>
    <row r="83" spans="1:7" x14ac:dyDescent="0.25">
      <c r="A83" s="4">
        <v>43979</v>
      </c>
      <c r="C83" s="4">
        <v>43979</v>
      </c>
      <c r="E83" s="4">
        <v>43880</v>
      </c>
      <c r="G83" s="4">
        <v>43636</v>
      </c>
    </row>
    <row r="84" spans="1:7" x14ac:dyDescent="0.25">
      <c r="A84" s="4">
        <v>43980</v>
      </c>
      <c r="C84" s="4">
        <v>43980</v>
      </c>
      <c r="E84" s="4">
        <v>43881</v>
      </c>
      <c r="G84" s="4">
        <v>43637</v>
      </c>
    </row>
    <row r="85" spans="1:7" x14ac:dyDescent="0.25">
      <c r="A85" s="4">
        <v>43981</v>
      </c>
      <c r="C85" s="4">
        <v>43981</v>
      </c>
      <c r="E85" s="4">
        <v>43882</v>
      </c>
      <c r="G85" s="4">
        <v>43638</v>
      </c>
    </row>
    <row r="86" spans="1:7" x14ac:dyDescent="0.25">
      <c r="A86" s="4">
        <v>43982</v>
      </c>
      <c r="C86" s="4">
        <v>43982</v>
      </c>
      <c r="E86" s="4">
        <v>43883</v>
      </c>
      <c r="G86" s="4">
        <v>43639</v>
      </c>
    </row>
    <row r="87" spans="1:7" x14ac:dyDescent="0.25">
      <c r="A87" s="4">
        <v>43983</v>
      </c>
      <c r="C87" s="4">
        <v>43983</v>
      </c>
      <c r="E87" s="4">
        <v>43884</v>
      </c>
      <c r="G87" s="4">
        <v>43640</v>
      </c>
    </row>
    <row r="88" spans="1:7" x14ac:dyDescent="0.25">
      <c r="A88" s="4">
        <v>43984</v>
      </c>
      <c r="C88" s="4">
        <v>43984</v>
      </c>
      <c r="E88" s="4">
        <v>43885</v>
      </c>
      <c r="G88" s="4">
        <v>43641</v>
      </c>
    </row>
    <row r="89" spans="1:7" x14ac:dyDescent="0.25">
      <c r="A89" s="4">
        <v>43985</v>
      </c>
      <c r="C89" s="4">
        <v>43985</v>
      </c>
      <c r="E89" s="4">
        <v>43886</v>
      </c>
      <c r="G89" s="4">
        <v>43642</v>
      </c>
    </row>
    <row r="90" spans="1:7" x14ac:dyDescent="0.25">
      <c r="A90" s="4">
        <v>43986</v>
      </c>
      <c r="C90" s="4">
        <v>43986</v>
      </c>
      <c r="E90" s="4">
        <v>43887</v>
      </c>
      <c r="G90" s="4">
        <v>43643</v>
      </c>
    </row>
    <row r="91" spans="1:7" x14ac:dyDescent="0.25">
      <c r="A91" s="4">
        <v>43987</v>
      </c>
      <c r="C91" s="4">
        <v>43987</v>
      </c>
      <c r="E91" s="4">
        <v>43888</v>
      </c>
      <c r="G91" s="4">
        <v>43644</v>
      </c>
    </row>
    <row r="92" spans="1:7" x14ac:dyDescent="0.25">
      <c r="A92" s="4">
        <v>43988</v>
      </c>
      <c r="C92" s="4">
        <v>43988</v>
      </c>
      <c r="E92" s="4">
        <v>43889</v>
      </c>
      <c r="G92" s="4">
        <v>43645</v>
      </c>
    </row>
    <row r="93" spans="1:7" x14ac:dyDescent="0.25">
      <c r="A93" s="4">
        <v>43989</v>
      </c>
      <c r="C93" s="4">
        <v>43989</v>
      </c>
      <c r="E93" s="4">
        <v>43890</v>
      </c>
      <c r="G93" s="4">
        <v>43646</v>
      </c>
    </row>
    <row r="94" spans="1:7" x14ac:dyDescent="0.25">
      <c r="A94" s="4">
        <v>43990</v>
      </c>
      <c r="C94" s="4">
        <v>43990</v>
      </c>
      <c r="E94" s="4">
        <v>43891</v>
      </c>
      <c r="G94" s="4">
        <v>43647</v>
      </c>
    </row>
    <row r="95" spans="1:7" x14ac:dyDescent="0.25">
      <c r="A95" s="4">
        <v>43991</v>
      </c>
      <c r="C95" s="4">
        <v>43991</v>
      </c>
      <c r="E95" s="4">
        <v>43892</v>
      </c>
      <c r="G95" s="4">
        <v>43648</v>
      </c>
    </row>
    <row r="96" spans="1:7" x14ac:dyDescent="0.25">
      <c r="A96" s="4">
        <v>43992</v>
      </c>
      <c r="C96" s="4">
        <v>43992</v>
      </c>
      <c r="E96" s="4">
        <v>43893</v>
      </c>
      <c r="G96" s="4">
        <v>43649</v>
      </c>
    </row>
    <row r="97" spans="1:7" x14ac:dyDescent="0.25">
      <c r="A97" s="4">
        <v>43993</v>
      </c>
      <c r="C97" s="4">
        <v>43993</v>
      </c>
      <c r="E97" s="4">
        <v>43894</v>
      </c>
      <c r="G97" s="4">
        <v>43650</v>
      </c>
    </row>
    <row r="98" spans="1:7" x14ac:dyDescent="0.25">
      <c r="A98" s="4">
        <v>43994</v>
      </c>
      <c r="C98" s="4">
        <v>43994</v>
      </c>
      <c r="E98" s="4">
        <v>43895</v>
      </c>
      <c r="G98" s="4">
        <v>43651</v>
      </c>
    </row>
    <row r="99" spans="1:7" x14ac:dyDescent="0.25">
      <c r="A99" s="4">
        <v>43995</v>
      </c>
      <c r="C99" s="4">
        <v>43995</v>
      </c>
      <c r="E99" s="4">
        <v>43896</v>
      </c>
      <c r="G99" s="4">
        <v>43652</v>
      </c>
    </row>
    <row r="100" spans="1:7" x14ac:dyDescent="0.25">
      <c r="A100" s="4">
        <v>43996</v>
      </c>
      <c r="C100" s="4">
        <v>43996</v>
      </c>
      <c r="E100" s="4">
        <v>43897</v>
      </c>
      <c r="G100" s="4">
        <v>43653</v>
      </c>
    </row>
    <row r="101" spans="1:7" x14ac:dyDescent="0.25">
      <c r="A101" s="4">
        <v>43997</v>
      </c>
      <c r="C101" s="4">
        <v>43997</v>
      </c>
      <c r="E101" s="4">
        <v>43898</v>
      </c>
      <c r="G101" s="4">
        <v>43654</v>
      </c>
    </row>
    <row r="102" spans="1:7" x14ac:dyDescent="0.25">
      <c r="A102" s="4">
        <v>43998</v>
      </c>
      <c r="C102" s="4">
        <v>43998</v>
      </c>
      <c r="E102" s="4">
        <v>43899</v>
      </c>
      <c r="G102" s="4">
        <v>43655</v>
      </c>
    </row>
    <row r="103" spans="1:7" x14ac:dyDescent="0.25">
      <c r="A103" s="4">
        <v>43999</v>
      </c>
      <c r="C103" s="4">
        <v>43999</v>
      </c>
      <c r="G103" s="4">
        <v>43656</v>
      </c>
    </row>
    <row r="104" spans="1:7" x14ac:dyDescent="0.25">
      <c r="A104" s="4">
        <v>44000</v>
      </c>
      <c r="C104" s="4">
        <v>44000</v>
      </c>
      <c r="G104" s="4">
        <v>43657</v>
      </c>
    </row>
    <row r="105" spans="1:7" x14ac:dyDescent="0.25">
      <c r="A105" s="4">
        <v>44001</v>
      </c>
      <c r="C105" s="4">
        <v>44001</v>
      </c>
      <c r="G105" s="4">
        <v>43658</v>
      </c>
    </row>
    <row r="106" spans="1:7" x14ac:dyDescent="0.25">
      <c r="A106" s="4">
        <v>44002</v>
      </c>
      <c r="C106" s="4">
        <v>44002</v>
      </c>
      <c r="G106" s="4">
        <v>43659</v>
      </c>
    </row>
    <row r="107" spans="1:7" x14ac:dyDescent="0.25">
      <c r="A107" s="4">
        <v>44003</v>
      </c>
      <c r="C107" s="4">
        <v>44003</v>
      </c>
      <c r="G107" s="4">
        <v>43660</v>
      </c>
    </row>
    <row r="108" spans="1:7" x14ac:dyDescent="0.25">
      <c r="A108" s="4">
        <v>44004</v>
      </c>
      <c r="C108" s="4">
        <v>44004</v>
      </c>
      <c r="G108" s="4">
        <v>43661</v>
      </c>
    </row>
    <row r="109" spans="1:7" x14ac:dyDescent="0.25">
      <c r="A109" s="4">
        <v>44005</v>
      </c>
      <c r="C109" s="4">
        <v>44005</v>
      </c>
      <c r="G109" s="4">
        <v>43662</v>
      </c>
    </row>
    <row r="110" spans="1:7" x14ac:dyDescent="0.25">
      <c r="A110" s="4">
        <v>44006</v>
      </c>
      <c r="C110" s="4">
        <v>44006</v>
      </c>
      <c r="G110" s="4">
        <v>43663</v>
      </c>
    </row>
    <row r="111" spans="1:7" x14ac:dyDescent="0.25">
      <c r="A111" s="4">
        <v>44007</v>
      </c>
      <c r="C111" s="4">
        <v>44007</v>
      </c>
      <c r="G111" s="4">
        <v>43664</v>
      </c>
    </row>
    <row r="112" spans="1:7" x14ac:dyDescent="0.25">
      <c r="A112" s="4">
        <v>44008</v>
      </c>
      <c r="C112" s="4">
        <v>44008</v>
      </c>
      <c r="G112" s="4">
        <v>43665</v>
      </c>
    </row>
    <row r="113" spans="1:7" x14ac:dyDescent="0.25">
      <c r="A113" s="4">
        <v>44009</v>
      </c>
      <c r="C113" s="4">
        <v>44009</v>
      </c>
      <c r="G113" s="4">
        <v>43666</v>
      </c>
    </row>
    <row r="114" spans="1:7" x14ac:dyDescent="0.25">
      <c r="A114" s="4">
        <v>44010</v>
      </c>
      <c r="C114" s="4">
        <v>44010</v>
      </c>
      <c r="G114" s="4">
        <v>43667</v>
      </c>
    </row>
    <row r="115" spans="1:7" x14ac:dyDescent="0.25">
      <c r="A115" s="4">
        <v>44011</v>
      </c>
      <c r="C115" s="4">
        <v>44011</v>
      </c>
      <c r="G115" s="4">
        <v>43668</v>
      </c>
    </row>
    <row r="116" spans="1:7" x14ac:dyDescent="0.25">
      <c r="A116" s="4">
        <v>44012</v>
      </c>
      <c r="C116" s="4">
        <v>44012</v>
      </c>
      <c r="G116" s="4">
        <v>43669</v>
      </c>
    </row>
    <row r="117" spans="1:7" x14ac:dyDescent="0.25">
      <c r="A117" s="4">
        <v>44013</v>
      </c>
      <c r="C117" s="4">
        <v>44013</v>
      </c>
      <c r="G117" s="4">
        <v>43670</v>
      </c>
    </row>
    <row r="118" spans="1:7" x14ac:dyDescent="0.25">
      <c r="A118" s="4">
        <v>44014</v>
      </c>
      <c r="C118" s="4">
        <v>44014</v>
      </c>
      <c r="G118" s="4">
        <v>43671</v>
      </c>
    </row>
    <row r="119" spans="1:7" x14ac:dyDescent="0.25">
      <c r="A119" s="4">
        <v>44015</v>
      </c>
      <c r="C119" s="4">
        <v>44015</v>
      </c>
      <c r="G119" s="4">
        <v>43672</v>
      </c>
    </row>
    <row r="120" spans="1:7" x14ac:dyDescent="0.25">
      <c r="A120" s="4">
        <v>44016</v>
      </c>
      <c r="C120" s="4">
        <v>44016</v>
      </c>
      <c r="G120" s="4">
        <v>43673</v>
      </c>
    </row>
    <row r="121" spans="1:7" x14ac:dyDescent="0.25">
      <c r="A121" s="4">
        <v>44017</v>
      </c>
      <c r="C121" s="4">
        <v>44017</v>
      </c>
      <c r="G121" s="4">
        <v>43674</v>
      </c>
    </row>
    <row r="122" spans="1:7" x14ac:dyDescent="0.25">
      <c r="A122" s="4">
        <v>44018</v>
      </c>
      <c r="C122" s="4">
        <v>44018</v>
      </c>
      <c r="G122" s="4">
        <v>43675</v>
      </c>
    </row>
    <row r="123" spans="1:7" x14ac:dyDescent="0.25">
      <c r="A123" s="4">
        <v>44019</v>
      </c>
      <c r="C123" s="4">
        <v>44019</v>
      </c>
      <c r="G123" s="4">
        <v>43676</v>
      </c>
    </row>
    <row r="124" spans="1:7" x14ac:dyDescent="0.25">
      <c r="A124" s="4">
        <v>44020</v>
      </c>
      <c r="C124" s="4">
        <v>44020</v>
      </c>
      <c r="G124" s="4">
        <v>43677</v>
      </c>
    </row>
    <row r="125" spans="1:7" x14ac:dyDescent="0.25">
      <c r="G125" s="4">
        <v>43678</v>
      </c>
    </row>
    <row r="126" spans="1:7" x14ac:dyDescent="0.25">
      <c r="G126" s="4">
        <v>43679</v>
      </c>
    </row>
    <row r="127" spans="1:7" x14ac:dyDescent="0.25">
      <c r="G127" s="4">
        <v>43680</v>
      </c>
    </row>
    <row r="128" spans="1:7" x14ac:dyDescent="0.25">
      <c r="G128" s="4">
        <v>43681</v>
      </c>
    </row>
    <row r="129" spans="7:7" x14ac:dyDescent="0.25">
      <c r="G129" s="4">
        <v>43682</v>
      </c>
    </row>
    <row r="130" spans="7:7" x14ac:dyDescent="0.25">
      <c r="G130" s="4">
        <v>43683</v>
      </c>
    </row>
    <row r="131" spans="7:7" x14ac:dyDescent="0.25">
      <c r="G131" s="4">
        <v>43684</v>
      </c>
    </row>
    <row r="132" spans="7:7" x14ac:dyDescent="0.25">
      <c r="G132" s="4">
        <v>43685</v>
      </c>
    </row>
    <row r="133" spans="7:7" x14ac:dyDescent="0.25">
      <c r="G133" s="4">
        <v>43686</v>
      </c>
    </row>
    <row r="134" spans="7:7" x14ac:dyDescent="0.25">
      <c r="G134" s="4">
        <v>43687</v>
      </c>
    </row>
    <row r="135" spans="7:7" x14ac:dyDescent="0.25">
      <c r="G135" s="4">
        <v>43688</v>
      </c>
    </row>
    <row r="136" spans="7:7" x14ac:dyDescent="0.25">
      <c r="G136" s="4">
        <v>43689</v>
      </c>
    </row>
    <row r="137" spans="7:7" x14ac:dyDescent="0.25">
      <c r="G137" s="4">
        <v>43690</v>
      </c>
    </row>
    <row r="138" spans="7:7" x14ac:dyDescent="0.25">
      <c r="G138" s="4">
        <v>43691</v>
      </c>
    </row>
    <row r="139" spans="7:7" x14ac:dyDescent="0.25">
      <c r="G139" s="4">
        <v>43692</v>
      </c>
    </row>
    <row r="140" spans="7:7" x14ac:dyDescent="0.25">
      <c r="G140" s="4">
        <v>43693</v>
      </c>
    </row>
    <row r="141" spans="7:7" x14ac:dyDescent="0.25">
      <c r="G141" s="4">
        <v>43694</v>
      </c>
    </row>
    <row r="142" spans="7:7" x14ac:dyDescent="0.25">
      <c r="G142" s="4">
        <v>43695</v>
      </c>
    </row>
    <row r="143" spans="7:7" x14ac:dyDescent="0.25">
      <c r="G143" s="4">
        <v>43696</v>
      </c>
    </row>
    <row r="144" spans="7:7" x14ac:dyDescent="0.25">
      <c r="G144" s="4">
        <v>43697</v>
      </c>
    </row>
    <row r="145" spans="7:7" x14ac:dyDescent="0.25">
      <c r="G145" s="4">
        <v>43698</v>
      </c>
    </row>
    <row r="146" spans="7:7" x14ac:dyDescent="0.25">
      <c r="G146" s="4">
        <v>43699</v>
      </c>
    </row>
    <row r="147" spans="7:7" x14ac:dyDescent="0.25">
      <c r="G147" s="4">
        <v>43700</v>
      </c>
    </row>
    <row r="148" spans="7:7" x14ac:dyDescent="0.25">
      <c r="G148" s="4">
        <v>43701</v>
      </c>
    </row>
    <row r="149" spans="7:7" x14ac:dyDescent="0.25">
      <c r="G149" s="4">
        <v>43702</v>
      </c>
    </row>
    <row r="150" spans="7:7" x14ac:dyDescent="0.25">
      <c r="G150" s="4">
        <v>43703</v>
      </c>
    </row>
    <row r="151" spans="7:7" x14ac:dyDescent="0.25">
      <c r="G151" s="4">
        <v>43704</v>
      </c>
    </row>
    <row r="152" spans="7:7" x14ac:dyDescent="0.25">
      <c r="G152" s="4">
        <v>43705</v>
      </c>
    </row>
    <row r="153" spans="7:7" x14ac:dyDescent="0.25">
      <c r="G153" s="4">
        <v>43706</v>
      </c>
    </row>
    <row r="154" spans="7:7" x14ac:dyDescent="0.25">
      <c r="G154" s="4">
        <v>43707</v>
      </c>
    </row>
    <row r="155" spans="7:7" x14ac:dyDescent="0.25">
      <c r="G155" s="4">
        <v>43708</v>
      </c>
    </row>
    <row r="156" spans="7:7" x14ac:dyDescent="0.25">
      <c r="G156" s="4">
        <v>43709</v>
      </c>
    </row>
    <row r="157" spans="7:7" x14ac:dyDescent="0.25">
      <c r="G157" s="4">
        <v>43710</v>
      </c>
    </row>
    <row r="158" spans="7:7" x14ac:dyDescent="0.25">
      <c r="G158" s="4">
        <v>43711</v>
      </c>
    </row>
    <row r="159" spans="7:7" x14ac:dyDescent="0.25">
      <c r="G159" s="4">
        <v>43712</v>
      </c>
    </row>
    <row r="160" spans="7:7" x14ac:dyDescent="0.25">
      <c r="G160" s="4">
        <v>43713</v>
      </c>
    </row>
    <row r="161" spans="7:7" x14ac:dyDescent="0.25">
      <c r="G161" s="4">
        <v>43714</v>
      </c>
    </row>
    <row r="162" spans="7:7" x14ac:dyDescent="0.25">
      <c r="G162" s="4">
        <v>43715</v>
      </c>
    </row>
    <row r="163" spans="7:7" x14ac:dyDescent="0.25">
      <c r="G163" s="4">
        <v>43716</v>
      </c>
    </row>
    <row r="164" spans="7:7" x14ac:dyDescent="0.25">
      <c r="G164" s="4">
        <v>43717</v>
      </c>
    </row>
    <row r="165" spans="7:7" x14ac:dyDescent="0.25">
      <c r="G165" s="4">
        <v>43718</v>
      </c>
    </row>
    <row r="166" spans="7:7" x14ac:dyDescent="0.25">
      <c r="G166" s="4">
        <v>43719</v>
      </c>
    </row>
    <row r="167" spans="7:7" x14ac:dyDescent="0.25">
      <c r="G167" s="4">
        <v>43720</v>
      </c>
    </row>
    <row r="168" spans="7:7" x14ac:dyDescent="0.25">
      <c r="G168" s="4">
        <v>43721</v>
      </c>
    </row>
    <row r="169" spans="7:7" x14ac:dyDescent="0.25">
      <c r="G169" s="4">
        <v>43722</v>
      </c>
    </row>
    <row r="170" spans="7:7" x14ac:dyDescent="0.25">
      <c r="G170" s="4">
        <v>43723</v>
      </c>
    </row>
    <row r="171" spans="7:7" x14ac:dyDescent="0.25">
      <c r="G171" s="4">
        <v>43724</v>
      </c>
    </row>
    <row r="172" spans="7:7" x14ac:dyDescent="0.25">
      <c r="G172" s="4">
        <v>43725</v>
      </c>
    </row>
    <row r="173" spans="7:7" x14ac:dyDescent="0.25">
      <c r="G173" s="4">
        <v>43726</v>
      </c>
    </row>
    <row r="174" spans="7:7" x14ac:dyDescent="0.25">
      <c r="G174" s="4">
        <v>43727</v>
      </c>
    </row>
    <row r="175" spans="7:7" x14ac:dyDescent="0.25">
      <c r="G175" s="4">
        <v>43728</v>
      </c>
    </row>
    <row r="176" spans="7:7" x14ac:dyDescent="0.25">
      <c r="G176" s="4">
        <v>43729</v>
      </c>
    </row>
    <row r="177" spans="7:7" x14ac:dyDescent="0.25">
      <c r="G177" s="4">
        <v>43730</v>
      </c>
    </row>
    <row r="178" spans="7:7" x14ac:dyDescent="0.25">
      <c r="G178" s="4">
        <v>43731</v>
      </c>
    </row>
    <row r="179" spans="7:7" x14ac:dyDescent="0.25">
      <c r="G179" s="4">
        <v>43732</v>
      </c>
    </row>
    <row r="180" spans="7:7" x14ac:dyDescent="0.25">
      <c r="G180" s="4">
        <v>43733</v>
      </c>
    </row>
    <row r="181" spans="7:7" x14ac:dyDescent="0.25">
      <c r="G181" s="4">
        <v>43734</v>
      </c>
    </row>
    <row r="182" spans="7:7" x14ac:dyDescent="0.25">
      <c r="G182" s="4">
        <v>43735</v>
      </c>
    </row>
    <row r="183" spans="7:7" x14ac:dyDescent="0.25">
      <c r="G183" s="4">
        <v>43736</v>
      </c>
    </row>
    <row r="184" spans="7:7" x14ac:dyDescent="0.25">
      <c r="G184" s="4">
        <v>43737</v>
      </c>
    </row>
    <row r="185" spans="7:7" x14ac:dyDescent="0.25">
      <c r="G185" s="4">
        <v>43738</v>
      </c>
    </row>
    <row r="186" spans="7:7" x14ac:dyDescent="0.25">
      <c r="G186" s="4">
        <v>43739</v>
      </c>
    </row>
    <row r="187" spans="7:7" x14ac:dyDescent="0.25">
      <c r="G187" s="4">
        <v>43740</v>
      </c>
    </row>
    <row r="188" spans="7:7" x14ac:dyDescent="0.25">
      <c r="G188" s="4">
        <v>43741</v>
      </c>
    </row>
    <row r="189" spans="7:7" x14ac:dyDescent="0.25">
      <c r="G189" s="4">
        <v>43742</v>
      </c>
    </row>
    <row r="190" spans="7:7" x14ac:dyDescent="0.25">
      <c r="G190" s="4">
        <v>43743</v>
      </c>
    </row>
    <row r="191" spans="7:7" x14ac:dyDescent="0.25">
      <c r="G191" s="4">
        <v>43744</v>
      </c>
    </row>
    <row r="192" spans="7:7" x14ac:dyDescent="0.25">
      <c r="G192" s="4">
        <v>43745</v>
      </c>
    </row>
    <row r="193" spans="7:7" x14ac:dyDescent="0.25">
      <c r="G193" s="4">
        <v>43746</v>
      </c>
    </row>
    <row r="194" spans="7:7" x14ac:dyDescent="0.25">
      <c r="G194" s="4">
        <v>43747</v>
      </c>
    </row>
    <row r="195" spans="7:7" x14ac:dyDescent="0.25">
      <c r="G195" s="4">
        <v>43748</v>
      </c>
    </row>
    <row r="196" spans="7:7" x14ac:dyDescent="0.25">
      <c r="G196" s="4">
        <v>43749</v>
      </c>
    </row>
    <row r="197" spans="7:7" x14ac:dyDescent="0.25">
      <c r="G197" s="4">
        <v>43750</v>
      </c>
    </row>
    <row r="198" spans="7:7" x14ac:dyDescent="0.25">
      <c r="G198" s="4">
        <v>43751</v>
      </c>
    </row>
    <row r="199" spans="7:7" x14ac:dyDescent="0.25">
      <c r="G199" s="4">
        <v>43752</v>
      </c>
    </row>
    <row r="200" spans="7:7" x14ac:dyDescent="0.25">
      <c r="G200" s="4">
        <v>43753</v>
      </c>
    </row>
    <row r="201" spans="7:7" x14ac:dyDescent="0.25">
      <c r="G201" s="4">
        <v>43754</v>
      </c>
    </row>
    <row r="202" spans="7:7" x14ac:dyDescent="0.25">
      <c r="G202" s="4">
        <v>43755</v>
      </c>
    </row>
    <row r="203" spans="7:7" x14ac:dyDescent="0.25">
      <c r="G203" s="4">
        <v>43756</v>
      </c>
    </row>
    <row r="204" spans="7:7" x14ac:dyDescent="0.25">
      <c r="G204" s="4">
        <v>43757</v>
      </c>
    </row>
    <row r="205" spans="7:7" x14ac:dyDescent="0.25">
      <c r="G205" s="4">
        <v>43758</v>
      </c>
    </row>
    <row r="206" spans="7:7" x14ac:dyDescent="0.25">
      <c r="G206" s="4">
        <v>43759</v>
      </c>
    </row>
    <row r="207" spans="7:7" x14ac:dyDescent="0.25">
      <c r="G207" s="4">
        <v>43760</v>
      </c>
    </row>
    <row r="208" spans="7:7" x14ac:dyDescent="0.25">
      <c r="G208" s="4">
        <v>43761</v>
      </c>
    </row>
    <row r="209" spans="7:7" x14ac:dyDescent="0.25">
      <c r="G209" s="4">
        <v>43762</v>
      </c>
    </row>
    <row r="210" spans="7:7" x14ac:dyDescent="0.25">
      <c r="G210" s="4">
        <v>43763</v>
      </c>
    </row>
    <row r="211" spans="7:7" x14ac:dyDescent="0.25">
      <c r="G211" s="4">
        <v>43764</v>
      </c>
    </row>
    <row r="212" spans="7:7" x14ac:dyDescent="0.25">
      <c r="G212" s="4">
        <v>43765</v>
      </c>
    </row>
    <row r="213" spans="7:7" x14ac:dyDescent="0.25">
      <c r="G213" s="4">
        <v>43766</v>
      </c>
    </row>
    <row r="214" spans="7:7" x14ac:dyDescent="0.25">
      <c r="G214" s="4">
        <v>43767</v>
      </c>
    </row>
    <row r="215" spans="7:7" x14ac:dyDescent="0.25">
      <c r="G215" s="4">
        <v>43768</v>
      </c>
    </row>
    <row r="216" spans="7:7" x14ac:dyDescent="0.25">
      <c r="G216" s="4">
        <v>43769</v>
      </c>
    </row>
    <row r="217" spans="7:7" x14ac:dyDescent="0.25">
      <c r="G217" s="4">
        <v>43770</v>
      </c>
    </row>
    <row r="218" spans="7:7" x14ac:dyDescent="0.25">
      <c r="G218" s="4">
        <v>43771</v>
      </c>
    </row>
    <row r="219" spans="7:7" x14ac:dyDescent="0.25">
      <c r="G219" s="4">
        <v>43772</v>
      </c>
    </row>
    <row r="220" spans="7:7" x14ac:dyDescent="0.25">
      <c r="G220" s="4">
        <v>43773</v>
      </c>
    </row>
    <row r="221" spans="7:7" x14ac:dyDescent="0.25">
      <c r="G221" s="4">
        <v>43774</v>
      </c>
    </row>
    <row r="222" spans="7:7" x14ac:dyDescent="0.25">
      <c r="G222" s="4">
        <v>43775</v>
      </c>
    </row>
    <row r="223" spans="7:7" x14ac:dyDescent="0.25">
      <c r="G223" s="4">
        <v>43776</v>
      </c>
    </row>
    <row r="224" spans="7:7" x14ac:dyDescent="0.25">
      <c r="G224" s="4">
        <v>43777</v>
      </c>
    </row>
    <row r="225" spans="7:7" x14ac:dyDescent="0.25">
      <c r="G225" s="4">
        <v>43778</v>
      </c>
    </row>
    <row r="226" spans="7:7" x14ac:dyDescent="0.25">
      <c r="G226" s="4">
        <v>43779</v>
      </c>
    </row>
    <row r="227" spans="7:7" x14ac:dyDescent="0.25">
      <c r="G227" s="4">
        <v>43780</v>
      </c>
    </row>
    <row r="228" spans="7:7" x14ac:dyDescent="0.25">
      <c r="G228" s="4">
        <v>43781</v>
      </c>
    </row>
    <row r="229" spans="7:7" x14ac:dyDescent="0.25">
      <c r="G229" s="4">
        <v>43782</v>
      </c>
    </row>
    <row r="230" spans="7:7" x14ac:dyDescent="0.25">
      <c r="G230" s="4">
        <v>43783</v>
      </c>
    </row>
    <row r="231" spans="7:7" x14ac:dyDescent="0.25">
      <c r="G231" s="4">
        <v>43784</v>
      </c>
    </row>
    <row r="232" spans="7:7" x14ac:dyDescent="0.25">
      <c r="G232" s="4">
        <v>43785</v>
      </c>
    </row>
    <row r="233" spans="7:7" x14ac:dyDescent="0.25">
      <c r="G233" s="4">
        <v>43786</v>
      </c>
    </row>
    <row r="234" spans="7:7" x14ac:dyDescent="0.25">
      <c r="G234" s="4">
        <v>43787</v>
      </c>
    </row>
    <row r="235" spans="7:7" x14ac:dyDescent="0.25">
      <c r="G235" s="4">
        <v>43788</v>
      </c>
    </row>
    <row r="236" spans="7:7" x14ac:dyDescent="0.25">
      <c r="G236" s="4">
        <v>43789</v>
      </c>
    </row>
    <row r="237" spans="7:7" x14ac:dyDescent="0.25">
      <c r="G237" s="4">
        <v>43790</v>
      </c>
    </row>
    <row r="238" spans="7:7" x14ac:dyDescent="0.25">
      <c r="G238" s="4">
        <v>43791</v>
      </c>
    </row>
    <row r="239" spans="7:7" x14ac:dyDescent="0.25">
      <c r="G239" s="4">
        <v>43792</v>
      </c>
    </row>
    <row r="240" spans="7:7" x14ac:dyDescent="0.25">
      <c r="G240" s="4">
        <v>43793</v>
      </c>
    </row>
    <row r="241" spans="7:7" x14ac:dyDescent="0.25">
      <c r="G241" s="4">
        <v>43794</v>
      </c>
    </row>
    <row r="242" spans="7:7" x14ac:dyDescent="0.25">
      <c r="G242" s="4">
        <v>43795</v>
      </c>
    </row>
    <row r="243" spans="7:7" x14ac:dyDescent="0.25">
      <c r="G243" s="4">
        <v>43796</v>
      </c>
    </row>
    <row r="244" spans="7:7" x14ac:dyDescent="0.25">
      <c r="G244" s="4">
        <v>43797</v>
      </c>
    </row>
    <row r="245" spans="7:7" x14ac:dyDescent="0.25">
      <c r="G245" s="4">
        <v>43798</v>
      </c>
    </row>
    <row r="246" spans="7:7" x14ac:dyDescent="0.25">
      <c r="G246" s="4">
        <v>43799</v>
      </c>
    </row>
    <row r="247" spans="7:7" x14ac:dyDescent="0.25">
      <c r="G247" s="4">
        <v>43800</v>
      </c>
    </row>
    <row r="248" spans="7:7" x14ac:dyDescent="0.25">
      <c r="G248" s="4">
        <v>43801</v>
      </c>
    </row>
    <row r="249" spans="7:7" x14ac:dyDescent="0.25">
      <c r="G249" s="4">
        <v>43802</v>
      </c>
    </row>
    <row r="250" spans="7:7" x14ac:dyDescent="0.25">
      <c r="G250" s="4">
        <v>43803</v>
      </c>
    </row>
    <row r="251" spans="7:7" x14ac:dyDescent="0.25">
      <c r="G251" s="4">
        <v>43804</v>
      </c>
    </row>
    <row r="252" spans="7:7" x14ac:dyDescent="0.25">
      <c r="G252" s="4">
        <v>43805</v>
      </c>
    </row>
    <row r="253" spans="7:7" x14ac:dyDescent="0.25">
      <c r="G253" s="4">
        <v>43806</v>
      </c>
    </row>
    <row r="254" spans="7:7" x14ac:dyDescent="0.25">
      <c r="G254" s="4">
        <v>43807</v>
      </c>
    </row>
    <row r="255" spans="7:7" x14ac:dyDescent="0.25">
      <c r="G255" s="4">
        <v>43808</v>
      </c>
    </row>
    <row r="256" spans="7:7" x14ac:dyDescent="0.25">
      <c r="G256" s="4">
        <v>43809</v>
      </c>
    </row>
    <row r="257" spans="7:7" x14ac:dyDescent="0.25">
      <c r="G257" s="4">
        <v>43810</v>
      </c>
    </row>
    <row r="258" spans="7:7" x14ac:dyDescent="0.25">
      <c r="G258" s="4">
        <v>43811</v>
      </c>
    </row>
    <row r="259" spans="7:7" x14ac:dyDescent="0.25">
      <c r="G259" s="4">
        <v>43812</v>
      </c>
    </row>
    <row r="260" spans="7:7" x14ac:dyDescent="0.25">
      <c r="G260" s="4">
        <v>43813</v>
      </c>
    </row>
    <row r="261" spans="7:7" x14ac:dyDescent="0.25">
      <c r="G261" s="4">
        <v>43814</v>
      </c>
    </row>
    <row r="262" spans="7:7" x14ac:dyDescent="0.25">
      <c r="G262" s="4">
        <v>43815</v>
      </c>
    </row>
    <row r="263" spans="7:7" x14ac:dyDescent="0.25">
      <c r="G263" s="4">
        <v>43816</v>
      </c>
    </row>
    <row r="264" spans="7:7" x14ac:dyDescent="0.25">
      <c r="G264" s="4">
        <v>43817</v>
      </c>
    </row>
    <row r="265" spans="7:7" x14ac:dyDescent="0.25">
      <c r="G265" s="4">
        <v>43818</v>
      </c>
    </row>
    <row r="266" spans="7:7" x14ac:dyDescent="0.25">
      <c r="G266" s="4">
        <v>43819</v>
      </c>
    </row>
    <row r="267" spans="7:7" x14ac:dyDescent="0.25">
      <c r="G267" s="4">
        <v>43820</v>
      </c>
    </row>
    <row r="268" spans="7:7" x14ac:dyDescent="0.25">
      <c r="G268" s="4">
        <v>43821</v>
      </c>
    </row>
    <row r="269" spans="7:7" x14ac:dyDescent="0.25">
      <c r="G269" s="4">
        <v>43822</v>
      </c>
    </row>
    <row r="270" spans="7:7" x14ac:dyDescent="0.25">
      <c r="G270" s="4">
        <v>43823</v>
      </c>
    </row>
    <row r="271" spans="7:7" x14ac:dyDescent="0.25">
      <c r="G271" s="4">
        <v>43824</v>
      </c>
    </row>
    <row r="272" spans="7:7" x14ac:dyDescent="0.25">
      <c r="G272" s="4">
        <v>43825</v>
      </c>
    </row>
    <row r="273" spans="7:7" x14ac:dyDescent="0.25">
      <c r="G273" s="4">
        <v>43826</v>
      </c>
    </row>
    <row r="274" spans="7:7" x14ac:dyDescent="0.25">
      <c r="G274" s="4">
        <v>43827</v>
      </c>
    </row>
    <row r="275" spans="7:7" x14ac:dyDescent="0.25">
      <c r="G275" s="4">
        <v>43828</v>
      </c>
    </row>
    <row r="276" spans="7:7" x14ac:dyDescent="0.25">
      <c r="G276" s="4">
        <v>43829</v>
      </c>
    </row>
    <row r="277" spans="7:7" x14ac:dyDescent="0.25">
      <c r="G277" s="4">
        <v>43830</v>
      </c>
    </row>
    <row r="278" spans="7:7" x14ac:dyDescent="0.25">
      <c r="G278" s="4">
        <v>43831</v>
      </c>
    </row>
    <row r="279" spans="7:7" x14ac:dyDescent="0.25">
      <c r="G279" s="4">
        <v>43832</v>
      </c>
    </row>
    <row r="280" spans="7:7" x14ac:dyDescent="0.25">
      <c r="G280" s="4">
        <v>43833</v>
      </c>
    </row>
    <row r="281" spans="7:7" x14ac:dyDescent="0.25">
      <c r="G281" s="4">
        <v>43834</v>
      </c>
    </row>
    <row r="282" spans="7:7" x14ac:dyDescent="0.25">
      <c r="G282" s="4">
        <v>43835</v>
      </c>
    </row>
    <row r="283" spans="7:7" x14ac:dyDescent="0.25">
      <c r="G283" s="4">
        <v>43836</v>
      </c>
    </row>
    <row r="284" spans="7:7" x14ac:dyDescent="0.25">
      <c r="G284" s="4">
        <v>43837</v>
      </c>
    </row>
    <row r="285" spans="7:7" x14ac:dyDescent="0.25">
      <c r="G285" s="4">
        <v>43838</v>
      </c>
    </row>
    <row r="286" spans="7:7" x14ac:dyDescent="0.25">
      <c r="G286" s="4">
        <v>43839</v>
      </c>
    </row>
    <row r="287" spans="7:7" x14ac:dyDescent="0.25">
      <c r="G287" s="4">
        <v>43840</v>
      </c>
    </row>
    <row r="288" spans="7:7" x14ac:dyDescent="0.25">
      <c r="G288" s="4">
        <v>43841</v>
      </c>
    </row>
    <row r="289" spans="7:7" x14ac:dyDescent="0.25">
      <c r="G289" s="4">
        <v>43842</v>
      </c>
    </row>
    <row r="290" spans="7:7" x14ac:dyDescent="0.25">
      <c r="G290" s="4">
        <v>43843</v>
      </c>
    </row>
    <row r="291" spans="7:7" x14ac:dyDescent="0.25">
      <c r="G291" s="4">
        <v>43844</v>
      </c>
    </row>
    <row r="292" spans="7:7" x14ac:dyDescent="0.25">
      <c r="G292" s="4">
        <v>43845</v>
      </c>
    </row>
    <row r="293" spans="7:7" x14ac:dyDescent="0.25">
      <c r="G293" s="4">
        <v>43846</v>
      </c>
    </row>
    <row r="294" spans="7:7" x14ac:dyDescent="0.25">
      <c r="G294" s="4">
        <v>43847</v>
      </c>
    </row>
    <row r="295" spans="7:7" x14ac:dyDescent="0.25">
      <c r="G295" s="4">
        <v>43848</v>
      </c>
    </row>
    <row r="296" spans="7:7" x14ac:dyDescent="0.25">
      <c r="G296" s="4">
        <v>43849</v>
      </c>
    </row>
    <row r="297" spans="7:7" x14ac:dyDescent="0.25">
      <c r="G297" s="4">
        <v>43850</v>
      </c>
    </row>
    <row r="298" spans="7:7" x14ac:dyDescent="0.25">
      <c r="G298" s="4">
        <v>43851</v>
      </c>
    </row>
    <row r="299" spans="7:7" x14ac:dyDescent="0.25">
      <c r="G299" s="4">
        <v>43852</v>
      </c>
    </row>
    <row r="300" spans="7:7" x14ac:dyDescent="0.25">
      <c r="G300" s="4">
        <v>43853</v>
      </c>
    </row>
    <row r="301" spans="7:7" x14ac:dyDescent="0.25">
      <c r="G301" s="4">
        <v>43854</v>
      </c>
    </row>
    <row r="302" spans="7:7" x14ac:dyDescent="0.25">
      <c r="G302" s="4">
        <v>43855</v>
      </c>
    </row>
    <row r="303" spans="7:7" x14ac:dyDescent="0.25">
      <c r="G303" s="4">
        <v>43856</v>
      </c>
    </row>
    <row r="304" spans="7:7" x14ac:dyDescent="0.25">
      <c r="G304" s="4">
        <v>43857</v>
      </c>
    </row>
    <row r="305" spans="7:7" x14ac:dyDescent="0.25">
      <c r="G305" s="4">
        <v>43858</v>
      </c>
    </row>
    <row r="306" spans="7:7" x14ac:dyDescent="0.25">
      <c r="G306" s="4">
        <v>43859</v>
      </c>
    </row>
    <row r="307" spans="7:7" x14ac:dyDescent="0.25">
      <c r="G307" s="4">
        <v>43860</v>
      </c>
    </row>
    <row r="308" spans="7:7" x14ac:dyDescent="0.25">
      <c r="G308" s="4">
        <v>43861</v>
      </c>
    </row>
    <row r="309" spans="7:7" x14ac:dyDescent="0.25">
      <c r="G309" s="4">
        <v>43862</v>
      </c>
    </row>
    <row r="310" spans="7:7" x14ac:dyDescent="0.25">
      <c r="G310" s="4">
        <v>43863</v>
      </c>
    </row>
    <row r="311" spans="7:7" x14ac:dyDescent="0.25">
      <c r="G311" s="4">
        <v>43864</v>
      </c>
    </row>
    <row r="312" spans="7:7" x14ac:dyDescent="0.25">
      <c r="G312" s="4">
        <v>43865</v>
      </c>
    </row>
    <row r="313" spans="7:7" x14ac:dyDescent="0.25">
      <c r="G313" s="4">
        <v>43866</v>
      </c>
    </row>
    <row r="314" spans="7:7" x14ac:dyDescent="0.25">
      <c r="G314" s="4">
        <v>43867</v>
      </c>
    </row>
    <row r="315" spans="7:7" x14ac:dyDescent="0.25">
      <c r="G315" s="4">
        <v>43868</v>
      </c>
    </row>
    <row r="316" spans="7:7" x14ac:dyDescent="0.25">
      <c r="G316" s="4">
        <v>43869</v>
      </c>
    </row>
    <row r="317" spans="7:7" x14ac:dyDescent="0.25">
      <c r="G317" s="4">
        <v>43870</v>
      </c>
    </row>
    <row r="318" spans="7:7" x14ac:dyDescent="0.25">
      <c r="G318" s="4">
        <v>43871</v>
      </c>
    </row>
    <row r="319" spans="7:7" x14ac:dyDescent="0.25">
      <c r="G319" s="4">
        <v>43872</v>
      </c>
    </row>
    <row r="320" spans="7:7" x14ac:dyDescent="0.25">
      <c r="G320" s="4">
        <v>43873</v>
      </c>
    </row>
    <row r="321" spans="7:7" x14ac:dyDescent="0.25">
      <c r="G321" s="4">
        <v>43874</v>
      </c>
    </row>
    <row r="322" spans="7:7" x14ac:dyDescent="0.25">
      <c r="G322" s="4">
        <v>43875</v>
      </c>
    </row>
    <row r="323" spans="7:7" x14ac:dyDescent="0.25">
      <c r="G323" s="4">
        <v>43876</v>
      </c>
    </row>
    <row r="324" spans="7:7" x14ac:dyDescent="0.25">
      <c r="G324" s="4">
        <v>43877</v>
      </c>
    </row>
    <row r="325" spans="7:7" x14ac:dyDescent="0.25">
      <c r="G325" s="4">
        <v>43878</v>
      </c>
    </row>
    <row r="326" spans="7:7" x14ac:dyDescent="0.25">
      <c r="G326" s="4">
        <v>43879</v>
      </c>
    </row>
    <row r="327" spans="7:7" x14ac:dyDescent="0.25">
      <c r="G327" s="4">
        <v>43880</v>
      </c>
    </row>
    <row r="328" spans="7:7" x14ac:dyDescent="0.25">
      <c r="G328" s="4">
        <v>43881</v>
      </c>
    </row>
    <row r="329" spans="7:7" x14ac:dyDescent="0.25">
      <c r="G329" s="4">
        <v>43882</v>
      </c>
    </row>
    <row r="330" spans="7:7" x14ac:dyDescent="0.25">
      <c r="G330" s="4">
        <v>43883</v>
      </c>
    </row>
    <row r="331" spans="7:7" x14ac:dyDescent="0.25">
      <c r="G331" s="4">
        <v>43884</v>
      </c>
    </row>
    <row r="332" spans="7:7" x14ac:dyDescent="0.25">
      <c r="G332" s="4">
        <v>43885</v>
      </c>
    </row>
    <row r="333" spans="7:7" x14ac:dyDescent="0.25">
      <c r="G333" s="4">
        <v>43886</v>
      </c>
    </row>
    <row r="334" spans="7:7" x14ac:dyDescent="0.25">
      <c r="G334" s="4">
        <v>43887</v>
      </c>
    </row>
    <row r="335" spans="7:7" x14ac:dyDescent="0.25">
      <c r="G335" s="4">
        <v>43888</v>
      </c>
    </row>
    <row r="336" spans="7:7" x14ac:dyDescent="0.25">
      <c r="G336" s="4">
        <v>43889</v>
      </c>
    </row>
    <row r="337" spans="7:7" x14ac:dyDescent="0.25">
      <c r="G337" s="4">
        <v>43890</v>
      </c>
    </row>
    <row r="338" spans="7:7" x14ac:dyDescent="0.25">
      <c r="G338" s="4">
        <v>43891</v>
      </c>
    </row>
    <row r="339" spans="7:7" x14ac:dyDescent="0.25">
      <c r="G339" s="4">
        <v>43892</v>
      </c>
    </row>
    <row r="340" spans="7:7" x14ac:dyDescent="0.25">
      <c r="G340" s="4">
        <v>43893</v>
      </c>
    </row>
    <row r="341" spans="7:7" x14ac:dyDescent="0.25">
      <c r="G341" s="4">
        <v>43894</v>
      </c>
    </row>
    <row r="342" spans="7:7" x14ac:dyDescent="0.25">
      <c r="G342" s="4">
        <v>43895</v>
      </c>
    </row>
    <row r="343" spans="7:7" x14ac:dyDescent="0.25">
      <c r="G343" s="4">
        <v>43896</v>
      </c>
    </row>
    <row r="344" spans="7:7" x14ac:dyDescent="0.25">
      <c r="G344" s="4">
        <v>43897</v>
      </c>
    </row>
    <row r="345" spans="7:7" x14ac:dyDescent="0.25">
      <c r="G345" s="4">
        <v>43898</v>
      </c>
    </row>
    <row r="346" spans="7:7" x14ac:dyDescent="0.25">
      <c r="G346" s="4">
        <v>43899</v>
      </c>
    </row>
  </sheetData>
  <sheetProtection algorithmName="SHA-512" hashValue="a4LQgzaS5VgkCOyEdoRAoG4WLgoICeTWEXtA2UlJGfY38WCLB8Gn7o26iFh9x5yq8O1NbNK6ZOHoKZrHScBCaw==" saltValue="ZOFyUt9PiCBflROFKqZXxA==" spinCount="100000" sheet="1" objects="1" scenarios="1"/>
  <conditionalFormatting sqref="K10">
    <cfRule type="expression" dxfId="0" priority="1">
      <formula>K5="Nystartet institution"</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9</vt:i4>
      </vt:variant>
    </vt:vector>
  </HeadingPairs>
  <TitlesOfParts>
    <vt:vector size="15" baseType="lpstr">
      <vt:lpstr>Ansøgning</vt:lpstr>
      <vt:lpstr>Afrapportering</vt:lpstr>
      <vt:lpstr>Revisorerklæring - ansøgning</vt:lpstr>
      <vt:lpstr>Revisorerklæring - efterr.</vt:lpstr>
      <vt:lpstr>KontrolAnsøgning</vt:lpstr>
      <vt:lpstr>Lister</vt:lpstr>
      <vt:lpstr>AndenReferenceperiode</vt:lpstr>
      <vt:lpstr>FastholdeUdbetaling</vt:lpstr>
      <vt:lpstr>Forbudsart</vt:lpstr>
      <vt:lpstr>Kompensationsperiode</vt:lpstr>
      <vt:lpstr>NegativtResultat</vt:lpstr>
      <vt:lpstr>NystartedeVirksomheder</vt:lpstr>
      <vt:lpstr>OpgørelseAfSenesteResultat</vt:lpstr>
      <vt:lpstr>Referenceperiode</vt:lpstr>
      <vt:lpstr>ReferenceperiodeFasteOmk</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Hjerrild Bech</dc:creator>
  <cp:lastModifiedBy>Janne Petersen</cp:lastModifiedBy>
  <dcterms:created xsi:type="dcterms:W3CDTF">2020-05-12T11:35:25Z</dcterms:created>
  <dcterms:modified xsi:type="dcterms:W3CDTF">2020-08-24T06:58:51Z</dcterms:modified>
</cp:coreProperties>
</file>